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4"/>
  </bookViews>
  <sheets>
    <sheet name="dywidendy_recznie  DY" sheetId="1" r:id="rId1"/>
    <sheet name="dywidendy_recznie  D" sheetId="2" r:id="rId2"/>
    <sheet name="dywidendy_recznie " sheetId="3" r:id="rId3"/>
    <sheet name="replikacja_recznie " sheetId="4" r:id="rId4"/>
    <sheet name="MC recznie" sheetId="5" r:id="rId5"/>
  </sheets>
  <definedNames/>
  <calcPr fullCalcOnLoad="1"/>
</workbook>
</file>

<file path=xl/sharedStrings.xml><?xml version="1.0" encoding="utf-8"?>
<sst xmlns="http://schemas.openxmlformats.org/spreadsheetml/2006/main" count="90" uniqueCount="39">
  <si>
    <t xml:space="preserve">cena opcji gdy wyplacamy dywidendy </t>
  </si>
  <si>
    <t>S</t>
  </si>
  <si>
    <t>K</t>
  </si>
  <si>
    <t>r</t>
  </si>
  <si>
    <t>T</t>
  </si>
  <si>
    <t>sigma</t>
  </si>
  <si>
    <t>D</t>
  </si>
  <si>
    <t>tau</t>
  </si>
  <si>
    <t>N</t>
  </si>
  <si>
    <t>delta_t</t>
  </si>
  <si>
    <t>u</t>
  </si>
  <si>
    <t>d</t>
  </si>
  <si>
    <t>stock S*</t>
  </si>
  <si>
    <t>stock S</t>
  </si>
  <si>
    <t>put</t>
  </si>
  <si>
    <t>DY</t>
  </si>
  <si>
    <t>p*</t>
  </si>
  <si>
    <t>1-p*</t>
  </si>
  <si>
    <t>put AM</t>
  </si>
  <si>
    <t>cena opcji gdy wyplacamy dywidendy D (drzewo nierekombinujace)</t>
  </si>
  <si>
    <t>stock</t>
  </si>
  <si>
    <t xml:space="preserve">delta </t>
  </si>
  <si>
    <t>call</t>
  </si>
  <si>
    <t>bond</t>
  </si>
  <si>
    <t>portfolio replication</t>
  </si>
  <si>
    <t xml:space="preserve">cena opcji gdy wyplacamy stope dywidendy </t>
  </si>
  <si>
    <t>info:</t>
  </si>
  <si>
    <t>typ opcji:</t>
  </si>
  <si>
    <t>wartosc dzisiejsza dywidend</t>
  </si>
  <si>
    <t xml:space="preserve">EU put </t>
  </si>
  <si>
    <t>AM put</t>
  </si>
  <si>
    <t>los</t>
  </si>
  <si>
    <t>inaczej</t>
  </si>
  <si>
    <t>czas</t>
  </si>
  <si>
    <t>S_i</t>
  </si>
  <si>
    <t>wyplata</t>
  </si>
  <si>
    <t>cena opcji call</t>
  </si>
  <si>
    <t>wyplata opcji azjatyckiej call</t>
  </si>
  <si>
    <t>cena opcji azjatyckiej call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</si>
</sst>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%"/>
    <numFmt numFmtId="166" formatCode="0.000%"/>
    <numFmt numFmtId="167" formatCode="0.0"/>
    <numFmt numFmtId="168" formatCode="#,##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0.00000"/>
    <numFmt numFmtId="174" formatCode="0.0000"/>
    <numFmt numFmtId="175" formatCode="#.##0.00"/>
    <numFmt numFmtId="176" formatCode="0.000000"/>
    <numFmt numFmtId="177" formatCode="_-* #,##0_-;\-* #,##0_-;_-* &quot;-&quot;??_-;_-@_-"/>
    <numFmt numFmtId="178" formatCode="#,##0.000"/>
    <numFmt numFmtId="179" formatCode="0.0000%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Verdana"/>
      <family val="2"/>
    </font>
    <font>
      <sz val="10"/>
      <color indexed="12"/>
      <name val="Verdana"/>
      <family val="2"/>
    </font>
    <font>
      <b/>
      <sz val="10"/>
      <color indexed="12"/>
      <name val="Verdana"/>
      <family val="2"/>
    </font>
    <font>
      <sz val="10"/>
      <color indexed="16"/>
      <name val="Verdana"/>
      <family val="2"/>
    </font>
    <font>
      <b/>
      <sz val="10"/>
      <color indexed="16"/>
      <name val="Verdana"/>
      <family val="2"/>
    </font>
    <font>
      <sz val="10"/>
      <color indexed="10"/>
      <name val="Verdana"/>
      <family val="2"/>
    </font>
    <font>
      <sz val="10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165" fontId="3" fillId="0" borderId="0" xfId="19" applyNumberFormat="1" applyFont="1" applyAlignment="1">
      <alignment/>
    </xf>
    <xf numFmtId="2" fontId="3" fillId="0" borderId="0" xfId="0" applyNumberFormat="1" applyFont="1" applyAlignment="1">
      <alignment/>
    </xf>
    <xf numFmtId="174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2" fontId="4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Fill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Fill="1" applyAlignment="1">
      <alignment/>
    </xf>
    <xf numFmtId="167" fontId="3" fillId="0" borderId="0" xfId="0" applyNumberFormat="1" applyFont="1" applyFill="1" applyAlignment="1">
      <alignment/>
    </xf>
    <xf numFmtId="167" fontId="5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174" fontId="3" fillId="0" borderId="1" xfId="0" applyNumberFormat="1" applyFont="1" applyBorder="1" applyAlignment="1">
      <alignment/>
    </xf>
    <xf numFmtId="2" fontId="3" fillId="2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3" fillId="3" borderId="0" xfId="0" applyFont="1" applyFill="1" applyAlignment="1">
      <alignment/>
    </xf>
    <xf numFmtId="2" fontId="6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2" fontId="8" fillId="0" borderId="0" xfId="0" applyNumberFormat="1" applyFont="1" applyAlignment="1">
      <alignment/>
    </xf>
    <xf numFmtId="0" fontId="4" fillId="0" borderId="0" xfId="0" applyFont="1" applyAlignment="1">
      <alignment/>
    </xf>
    <xf numFmtId="167" fontId="6" fillId="0" borderId="0" xfId="0" applyNumberFormat="1" applyFont="1" applyAlignment="1">
      <alignment/>
    </xf>
    <xf numFmtId="167" fontId="7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'MC recznie'!$D$2:$D$54</c:f>
              <c:numCache/>
            </c:numRef>
          </c:xVal>
          <c:yVal>
            <c:numRef>
              <c:f>'MC recznie'!$F$2:$F$54</c:f>
              <c:numCache>
                <c:ptCount val="53"/>
                <c:pt idx="0">
                  <c:v>82</c:v>
                </c:pt>
                <c:pt idx="1">
                  <c:v>86.67706074998473</c:v>
                </c:pt>
                <c:pt idx="2">
                  <c:v>91.62088853971395</c:v>
                </c:pt>
                <c:pt idx="3">
                  <c:v>86.67706074998473</c:v>
                </c:pt>
                <c:pt idx="4">
                  <c:v>82</c:v>
                </c:pt>
                <c:pt idx="5">
                  <c:v>86.67706074998473</c:v>
                </c:pt>
                <c:pt idx="6">
                  <c:v>91.62088853971395</c:v>
                </c:pt>
                <c:pt idx="7">
                  <c:v>86.67706074998473</c:v>
                </c:pt>
                <c:pt idx="8">
                  <c:v>82</c:v>
                </c:pt>
                <c:pt idx="9">
                  <c:v>86.67706074998473</c:v>
                </c:pt>
                <c:pt idx="10">
                  <c:v>91.62088853971395</c:v>
                </c:pt>
                <c:pt idx="11">
                  <c:v>86.67706074998473</c:v>
                </c:pt>
                <c:pt idx="12">
                  <c:v>91.62088853971395</c:v>
                </c:pt>
                <c:pt idx="13">
                  <c:v>96.84669904785812</c:v>
                </c:pt>
                <c:pt idx="14">
                  <c:v>91.62088853971396</c:v>
                </c:pt>
                <c:pt idx="15">
                  <c:v>86.67706074998475</c:v>
                </c:pt>
                <c:pt idx="16">
                  <c:v>82.00000000000001</c:v>
                </c:pt>
                <c:pt idx="17">
                  <c:v>77.57531164323873</c:v>
                </c:pt>
                <c:pt idx="18">
                  <c:v>73.38937776275134</c:v>
                </c:pt>
                <c:pt idx="19">
                  <c:v>77.57531164323873</c:v>
                </c:pt>
                <c:pt idx="20">
                  <c:v>82.00000000000001</c:v>
                </c:pt>
                <c:pt idx="21">
                  <c:v>77.57531164323873</c:v>
                </c:pt>
                <c:pt idx="22">
                  <c:v>73.38937776275134</c:v>
                </c:pt>
                <c:pt idx="23">
                  <c:v>77.57531164323873</c:v>
                </c:pt>
                <c:pt idx="24">
                  <c:v>73.38937776275134</c:v>
                </c:pt>
                <c:pt idx="25">
                  <c:v>69.42931525913181</c:v>
                </c:pt>
                <c:pt idx="26">
                  <c:v>73.38937776275134</c:v>
                </c:pt>
                <c:pt idx="27">
                  <c:v>77.57531164323873</c:v>
                </c:pt>
                <c:pt idx="28">
                  <c:v>73.38937776275134</c:v>
                </c:pt>
                <c:pt idx="29">
                  <c:v>77.57531164323873</c:v>
                </c:pt>
                <c:pt idx="30">
                  <c:v>73.38937776275134</c:v>
                </c:pt>
                <c:pt idx="31">
                  <c:v>69.42931525913181</c:v>
                </c:pt>
                <c:pt idx="32">
                  <c:v>65.68293620004658</c:v>
                </c:pt>
                <c:pt idx="33">
                  <c:v>62.13871030928755</c:v>
                </c:pt>
                <c:pt idx="34">
                  <c:v>58.78572947990137</c:v>
                </c:pt>
                <c:pt idx="35">
                  <c:v>55.61367420217652</c:v>
                </c:pt>
                <c:pt idx="36">
                  <c:v>58.78572947990138</c:v>
                </c:pt>
                <c:pt idx="37">
                  <c:v>62.13871030928756</c:v>
                </c:pt>
                <c:pt idx="38">
                  <c:v>58.78572947990138</c:v>
                </c:pt>
                <c:pt idx="39">
                  <c:v>62.13871030928756</c:v>
                </c:pt>
                <c:pt idx="40">
                  <c:v>65.6829362000466</c:v>
                </c:pt>
                <c:pt idx="41">
                  <c:v>69.42931525913183</c:v>
                </c:pt>
                <c:pt idx="42">
                  <c:v>73.38937776275135</c:v>
                </c:pt>
                <c:pt idx="43">
                  <c:v>69.42931525913183</c:v>
                </c:pt>
                <c:pt idx="44">
                  <c:v>65.6829362000466</c:v>
                </c:pt>
                <c:pt idx="45">
                  <c:v>62.13871030928757</c:v>
                </c:pt>
                <c:pt idx="46">
                  <c:v>65.6829362000466</c:v>
                </c:pt>
                <c:pt idx="47">
                  <c:v>69.42931525913183</c:v>
                </c:pt>
                <c:pt idx="48">
                  <c:v>73.38937776275135</c:v>
                </c:pt>
                <c:pt idx="49">
                  <c:v>77.57531164323875</c:v>
                </c:pt>
                <c:pt idx="50">
                  <c:v>73.38937776275135</c:v>
                </c:pt>
                <c:pt idx="51">
                  <c:v>77.57531164323875</c:v>
                </c:pt>
                <c:pt idx="52">
                  <c:v>82.00000000000004</c:v>
                </c:pt>
              </c:numCache>
            </c:numRef>
          </c:yVal>
          <c:smooth val="0"/>
        </c:ser>
        <c:axId val="20381719"/>
        <c:axId val="49217744"/>
      </c:scatterChart>
      <c:valAx>
        <c:axId val="20381719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49217744"/>
        <c:crosses val="autoZero"/>
        <c:crossBetween val="midCat"/>
        <c:dispUnits/>
      </c:valAx>
      <c:valAx>
        <c:axId val="492177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38171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561975</xdr:colOff>
      <xdr:row>18</xdr:row>
      <xdr:rowOff>95250</xdr:rowOff>
    </xdr:from>
    <xdr:to>
      <xdr:col>6</xdr:col>
      <xdr:colOff>447675</xdr:colOff>
      <xdr:row>18</xdr:row>
      <xdr:rowOff>104775</xdr:rowOff>
    </xdr:to>
    <xdr:sp>
      <xdr:nvSpPr>
        <xdr:cNvPr id="1" name="Line 1"/>
        <xdr:cNvSpPr>
          <a:spLocks/>
        </xdr:cNvSpPr>
      </xdr:nvSpPr>
      <xdr:spPr>
        <a:xfrm flipV="1">
          <a:off x="2800350" y="3009900"/>
          <a:ext cx="10096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16</xdr:row>
      <xdr:rowOff>57150</xdr:rowOff>
    </xdr:from>
    <xdr:to>
      <xdr:col>6</xdr:col>
      <xdr:colOff>476250</xdr:colOff>
      <xdr:row>18</xdr:row>
      <xdr:rowOff>104775</xdr:rowOff>
    </xdr:to>
    <xdr:sp>
      <xdr:nvSpPr>
        <xdr:cNvPr id="2" name="Line 2"/>
        <xdr:cNvSpPr>
          <a:spLocks/>
        </xdr:cNvSpPr>
      </xdr:nvSpPr>
      <xdr:spPr>
        <a:xfrm flipV="1">
          <a:off x="2790825" y="2647950"/>
          <a:ext cx="10477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447675</xdr:colOff>
      <xdr:row>15</xdr:row>
      <xdr:rowOff>57150</xdr:rowOff>
    </xdr:from>
    <xdr:to>
      <xdr:col>6</xdr:col>
      <xdr:colOff>495300</xdr:colOff>
      <xdr:row>15</xdr:row>
      <xdr:rowOff>66675</xdr:rowOff>
    </xdr:to>
    <xdr:sp>
      <xdr:nvSpPr>
        <xdr:cNvPr id="3" name="Line 3"/>
        <xdr:cNvSpPr>
          <a:spLocks/>
        </xdr:cNvSpPr>
      </xdr:nvSpPr>
      <xdr:spPr>
        <a:xfrm flipV="1">
          <a:off x="2686050" y="2486025"/>
          <a:ext cx="1171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447675</xdr:colOff>
      <xdr:row>13</xdr:row>
      <xdr:rowOff>47625</xdr:rowOff>
    </xdr:from>
    <xdr:to>
      <xdr:col>6</xdr:col>
      <xdr:colOff>361950</xdr:colOff>
      <xdr:row>15</xdr:row>
      <xdr:rowOff>47625</xdr:rowOff>
    </xdr:to>
    <xdr:sp>
      <xdr:nvSpPr>
        <xdr:cNvPr id="4" name="Line 4"/>
        <xdr:cNvSpPr>
          <a:spLocks/>
        </xdr:cNvSpPr>
      </xdr:nvSpPr>
      <xdr:spPr>
        <a:xfrm flipV="1">
          <a:off x="2686050" y="2152650"/>
          <a:ext cx="10382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485775</xdr:colOff>
      <xdr:row>1</xdr:row>
      <xdr:rowOff>133350</xdr:rowOff>
    </xdr:from>
    <xdr:to>
      <xdr:col>15</xdr:col>
      <xdr:colOff>152400</xdr:colOff>
      <xdr:row>14</xdr:row>
      <xdr:rowOff>133350</xdr:rowOff>
    </xdr:to>
    <xdr:graphicFrame>
      <xdr:nvGraphicFramePr>
        <xdr:cNvPr id="1" name="Chart 1"/>
        <xdr:cNvGraphicFramePr/>
      </xdr:nvGraphicFramePr>
      <xdr:xfrm>
        <a:off x="3514725" y="295275"/>
        <a:ext cx="3810000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3"/>
  <dimension ref="A1:R44"/>
  <sheetViews>
    <sheetView zoomScale="122" zoomScaleNormal="122" workbookViewId="0" topLeftCell="A1">
      <selection activeCell="D6" sqref="D6"/>
    </sheetView>
  </sheetViews>
  <sheetFormatPr defaultColWidth="9.140625" defaultRowHeight="12.75"/>
  <cols>
    <col min="1" max="1" width="7.57421875" style="0" customWidth="1"/>
    <col min="2" max="2" width="8.421875" style="0" customWidth="1"/>
    <col min="3" max="4" width="8.00390625" style="0" customWidth="1"/>
    <col min="5" max="5" width="8.8515625" style="0" customWidth="1"/>
    <col min="6" max="6" width="8.00390625" style="0" customWidth="1"/>
    <col min="7" max="7" width="8.57421875" style="0" customWidth="1"/>
    <col min="8" max="9" width="8.140625" style="0" customWidth="1"/>
    <col min="10" max="10" width="7.140625" style="0" customWidth="1"/>
    <col min="11" max="11" width="6.421875" style="0" customWidth="1"/>
    <col min="12" max="13" width="7.57421875" style="0" customWidth="1"/>
    <col min="14" max="14" width="7.7109375" style="0" customWidth="1"/>
    <col min="15" max="15" width="7.28125" style="0" customWidth="1"/>
    <col min="16" max="16" width="7.7109375" style="0" customWidth="1"/>
    <col min="17" max="17" width="7.421875" style="0" customWidth="1"/>
    <col min="18" max="18" width="7.140625" style="0" customWidth="1"/>
  </cols>
  <sheetData>
    <row r="1" ht="12.75">
      <c r="A1" s="1" t="s">
        <v>25</v>
      </c>
    </row>
    <row r="2" spans="1:7" ht="12.75">
      <c r="A2" s="1" t="s">
        <v>1</v>
      </c>
      <c r="B2" s="1">
        <v>82</v>
      </c>
      <c r="C2" s="1"/>
      <c r="D2" s="1"/>
      <c r="E2" s="20" t="s">
        <v>26</v>
      </c>
      <c r="F2" s="21">
        <v>0</v>
      </c>
      <c r="G2" s="20" t="s">
        <v>22</v>
      </c>
    </row>
    <row r="3" spans="1:7" ht="12.75">
      <c r="A3" s="1" t="s">
        <v>2</v>
      </c>
      <c r="B3" s="1">
        <v>85</v>
      </c>
      <c r="C3" s="1"/>
      <c r="D3" s="1"/>
      <c r="E3" s="21"/>
      <c r="F3" s="21">
        <v>1</v>
      </c>
      <c r="G3" s="20" t="s">
        <v>14</v>
      </c>
    </row>
    <row r="4" spans="1:3" ht="12.75">
      <c r="A4" s="1" t="s">
        <v>3</v>
      </c>
      <c r="B4" s="2">
        <v>0.06</v>
      </c>
      <c r="C4" s="2"/>
    </row>
    <row r="5" spans="1:5" ht="12.75">
      <c r="A5" s="1" t="s">
        <v>4</v>
      </c>
      <c r="B5" s="1">
        <f>5/12</f>
        <v>0.4166666666666667</v>
      </c>
      <c r="C5" s="1"/>
      <c r="D5" t="s">
        <v>27</v>
      </c>
      <c r="E5">
        <v>1</v>
      </c>
    </row>
    <row r="6" spans="1:5" ht="12.75">
      <c r="A6" s="1" t="s">
        <v>5</v>
      </c>
      <c r="B6" s="2">
        <v>0.4</v>
      </c>
      <c r="C6" s="3"/>
      <c r="D6" s="1"/>
      <c r="E6" s="1"/>
    </row>
    <row r="7" spans="1:15" ht="12.75">
      <c r="A7" s="1" t="s">
        <v>15</v>
      </c>
      <c r="B7" s="2">
        <v>0.04</v>
      </c>
      <c r="C7" s="3"/>
      <c r="E7" s="1"/>
      <c r="K7" s="3"/>
      <c r="L7" s="3"/>
      <c r="M7" s="3"/>
      <c r="N7" s="3"/>
      <c r="O7" s="3"/>
    </row>
    <row r="8" spans="1:5" ht="12.75">
      <c r="A8" s="17" t="s">
        <v>7</v>
      </c>
      <c r="B8" s="18">
        <f>5/24</f>
        <v>0.20833333333333334</v>
      </c>
      <c r="C8" s="3"/>
      <c r="D8" s="1"/>
      <c r="E8" s="1"/>
    </row>
    <row r="9" spans="1:5" ht="12.75">
      <c r="A9" s="1" t="s">
        <v>8</v>
      </c>
      <c r="B9" s="1">
        <v>5</v>
      </c>
      <c r="C9" s="3"/>
      <c r="D9" s="1"/>
      <c r="E9" s="1"/>
    </row>
    <row r="10" spans="1:5" ht="12.75">
      <c r="A10" s="1" t="s">
        <v>9</v>
      </c>
      <c r="B10" s="5">
        <f>B5/B9</f>
        <v>0.08333333333333334</v>
      </c>
      <c r="C10" s="3"/>
      <c r="D10" s="1"/>
      <c r="E10" s="1"/>
    </row>
    <row r="11" spans="1:5" ht="12.75">
      <c r="A11" s="1" t="s">
        <v>10</v>
      </c>
      <c r="B11" s="5">
        <f>EXP(B6*(B10^0.5))</f>
        <v>1.1224009024456676</v>
      </c>
      <c r="C11" s="1"/>
      <c r="D11" s="1"/>
      <c r="E11" s="1"/>
    </row>
    <row r="12" spans="1:5" ht="12.75">
      <c r="A12" s="1" t="s">
        <v>11</v>
      </c>
      <c r="B12" s="5">
        <f>1/B11</f>
        <v>0.8909472522884107</v>
      </c>
      <c r="C12" s="1"/>
      <c r="D12" s="1"/>
      <c r="E12" s="1"/>
    </row>
    <row r="13" spans="1:5" ht="12.75">
      <c r="A13" s="1" t="s">
        <v>16</v>
      </c>
      <c r="B13" s="5">
        <f>(EXP(B4*B10)-B12)/(B11-B12)</f>
        <v>0.492821212771934</v>
      </c>
      <c r="C13" s="1"/>
      <c r="D13" s="1"/>
      <c r="E13" s="1"/>
    </row>
    <row r="14" spans="1:5" ht="12.75">
      <c r="A14" s="1" t="s">
        <v>17</v>
      </c>
      <c r="B14" s="5">
        <f>1-B13</f>
        <v>0.507178787228066</v>
      </c>
      <c r="C14" s="1"/>
      <c r="D14" s="1"/>
      <c r="E14" s="1"/>
    </row>
    <row r="15" spans="1:18" ht="12.75">
      <c r="A15" s="1"/>
      <c r="B15" s="6"/>
      <c r="C15" s="6"/>
      <c r="D15" s="6"/>
      <c r="E15" s="6"/>
      <c r="F15" s="6"/>
      <c r="G15" s="6"/>
      <c r="H15" s="6"/>
      <c r="I15" s="6"/>
      <c r="J15" s="6"/>
      <c r="K15" s="1"/>
      <c r="L15" s="1"/>
      <c r="M15" s="1"/>
      <c r="N15" s="1"/>
      <c r="O15" s="1"/>
      <c r="P15" s="1"/>
      <c r="Q15" s="1"/>
      <c r="R15" s="3"/>
    </row>
    <row r="16" spans="1:18" ht="12.75">
      <c r="A16" s="1"/>
      <c r="B16" s="6"/>
      <c r="C16" s="6"/>
      <c r="D16" s="6"/>
      <c r="E16" s="6"/>
      <c r="F16" s="3"/>
      <c r="G16" s="6"/>
      <c r="H16" s="6"/>
      <c r="I16" s="6"/>
      <c r="J16" s="6"/>
      <c r="K16" s="1"/>
      <c r="L16" s="1"/>
      <c r="M16" s="1"/>
      <c r="N16" s="1"/>
      <c r="O16" s="1"/>
      <c r="P16" s="1"/>
      <c r="Q16" s="1"/>
      <c r="R16" s="3"/>
    </row>
    <row r="17" spans="1:18" ht="12.75">
      <c r="A17" s="1"/>
      <c r="B17" s="3"/>
      <c r="C17" s="3"/>
      <c r="D17" s="3"/>
      <c r="E17" s="3"/>
      <c r="F17" s="3"/>
      <c r="G17" s="3">
        <f aca="true" t="shared" si="0" ref="F17:G20">F18*$B$11</f>
        <v>140.2248943460024</v>
      </c>
      <c r="H17" s="6"/>
      <c r="J17" s="6"/>
      <c r="K17" s="3"/>
      <c r="L17" s="3"/>
      <c r="M17" s="3"/>
      <c r="N17" s="3"/>
      <c r="O17" s="3"/>
      <c r="P17" s="3"/>
      <c r="Q17" s="3"/>
      <c r="R17" s="3"/>
    </row>
    <row r="18" spans="1:18" ht="12.75">
      <c r="A18" s="1"/>
      <c r="B18" s="3"/>
      <c r="C18" s="3"/>
      <c r="D18" s="3"/>
      <c r="E18" s="3"/>
      <c r="F18" s="3">
        <f t="shared" si="0"/>
        <v>124.93298432000354</v>
      </c>
      <c r="G18" s="3">
        <f t="shared" si="0"/>
        <v>111.30869910009827</v>
      </c>
      <c r="H18" s="6"/>
      <c r="J18" s="6"/>
      <c r="K18" s="3"/>
      <c r="L18" s="3"/>
      <c r="M18" s="3"/>
      <c r="N18" s="3"/>
      <c r="O18" s="3"/>
      <c r="P18" s="3"/>
      <c r="Q18" s="3"/>
      <c r="R18" s="3"/>
    </row>
    <row r="19" spans="1:18" ht="12.75">
      <c r="A19" s="1" t="s">
        <v>13</v>
      </c>
      <c r="B19" s="3"/>
      <c r="C19" s="3"/>
      <c r="D19" s="3"/>
      <c r="E19" s="19">
        <f>D20*$B$11*(1-$B$7)</f>
        <v>111.30869910009825</v>
      </c>
      <c r="F19" s="3">
        <f t="shared" si="0"/>
        <v>99.17017961903004</v>
      </c>
      <c r="G19" s="3">
        <f t="shared" si="0"/>
        <v>88.35539904052295</v>
      </c>
      <c r="H19" s="6"/>
      <c r="J19" s="1"/>
      <c r="K19" s="3"/>
      <c r="L19" s="3"/>
      <c r="M19" s="3"/>
      <c r="N19" s="3"/>
      <c r="O19" s="3"/>
      <c r="P19" s="3"/>
      <c r="Q19" s="3"/>
      <c r="R19" s="3"/>
    </row>
    <row r="20" spans="1:18" ht="12.75">
      <c r="A20" s="1"/>
      <c r="B20" s="3"/>
      <c r="C20" s="3"/>
      <c r="D20" s="3">
        <f>C21*$B$11</f>
        <v>103.30227043648962</v>
      </c>
      <c r="E20" s="19">
        <f>D21*$B$11*(1-$B$7)</f>
        <v>88.35539904052295</v>
      </c>
      <c r="F20" s="3">
        <f t="shared" si="0"/>
        <v>78.72</v>
      </c>
      <c r="G20" s="3">
        <f t="shared" si="0"/>
        <v>70.13536770014369</v>
      </c>
      <c r="H20" s="6"/>
      <c r="J20" s="6"/>
      <c r="K20" s="3"/>
      <c r="L20" s="3"/>
      <c r="M20" s="3"/>
      <c r="N20" s="3"/>
      <c r="O20" s="3"/>
      <c r="P20" s="3"/>
      <c r="Q20" s="3"/>
      <c r="R20" s="3"/>
    </row>
    <row r="21" spans="1:18" ht="12.75">
      <c r="A21" s="1"/>
      <c r="B21" s="3"/>
      <c r="C21" s="3">
        <f>B22*$B$11</f>
        <v>92.03687400054474</v>
      </c>
      <c r="D21" s="3">
        <f>C22*$B$11</f>
        <v>82</v>
      </c>
      <c r="E21" s="19">
        <f>D22*$B$11*(1-$B$7)</f>
        <v>70.13536770014369</v>
      </c>
      <c r="F21" s="3">
        <f>E22*$B$11</f>
        <v>62.486913140680365</v>
      </c>
      <c r="G21" s="3">
        <f>F22*$B$11</f>
        <v>55.67254356667375</v>
      </c>
      <c r="H21" s="6"/>
      <c r="J21" s="6"/>
      <c r="K21" s="3"/>
      <c r="L21" s="3"/>
      <c r="M21" s="3"/>
      <c r="N21" s="3"/>
      <c r="O21" s="3"/>
      <c r="P21" s="3"/>
      <c r="Q21" s="3"/>
      <c r="R21" s="3"/>
    </row>
    <row r="22" spans="1:18" ht="12.75">
      <c r="A22" s="1"/>
      <c r="B22" s="3">
        <f>B2</f>
        <v>82</v>
      </c>
      <c r="C22" s="3">
        <f>B22*$B$12</f>
        <v>73.05767468764968</v>
      </c>
      <c r="D22" s="3">
        <f>C22*$B$12</f>
        <v>65.09053452154205</v>
      </c>
      <c r="E22" s="19">
        <f>D22*$B$12*(1-B7)</f>
        <v>55.67254356667375</v>
      </c>
      <c r="F22" s="3">
        <f>E22*$B$12</f>
        <v>49.60129971863481</v>
      </c>
      <c r="G22" s="3">
        <f>F22*$B$12</f>
        <v>44.1921416942516</v>
      </c>
      <c r="H22" s="6"/>
      <c r="J22" s="6"/>
      <c r="K22" s="3"/>
      <c r="L22" s="3"/>
      <c r="M22" s="3"/>
      <c r="N22" s="3"/>
      <c r="O22" s="3"/>
      <c r="P22" s="3"/>
      <c r="Q22" s="3"/>
      <c r="R22" s="3"/>
    </row>
    <row r="23" spans="1:18" ht="12.75">
      <c r="A23" s="1"/>
      <c r="B23" s="7">
        <v>0</v>
      </c>
      <c r="C23" s="7">
        <f>B23+1</f>
        <v>1</v>
      </c>
      <c r="D23" s="7">
        <f>C23+1</f>
        <v>2</v>
      </c>
      <c r="E23" s="7">
        <f>D23+1</f>
        <v>3</v>
      </c>
      <c r="F23" s="7">
        <f>E23+1</f>
        <v>4</v>
      </c>
      <c r="G23" s="7">
        <f>F23+1</f>
        <v>5</v>
      </c>
      <c r="H23" s="8"/>
      <c r="J23" s="8"/>
      <c r="K23" s="7"/>
      <c r="L23" s="7"/>
      <c r="M23" s="7"/>
      <c r="N23" s="7"/>
      <c r="O23" s="7"/>
      <c r="P23" s="7"/>
      <c r="Q23" s="1"/>
      <c r="R23" s="1"/>
    </row>
    <row r="24" spans="1:18" ht="12.75">
      <c r="A24" s="1"/>
      <c r="B24" s="6"/>
      <c r="C24" s="6"/>
      <c r="D24" s="6"/>
      <c r="E24" s="6"/>
      <c r="F24" s="6"/>
      <c r="G24" s="6"/>
      <c r="H24" s="6"/>
      <c r="I24" s="6"/>
      <c r="J24" s="6"/>
      <c r="K24" s="1"/>
      <c r="L24" s="1"/>
      <c r="M24" s="1"/>
      <c r="N24" s="1"/>
      <c r="O24" s="1"/>
      <c r="P24" s="1"/>
      <c r="Q24" s="1"/>
      <c r="R24" s="1"/>
    </row>
    <row r="25" spans="1:18" ht="12.75">
      <c r="A25" s="1"/>
      <c r="B25" s="6"/>
      <c r="C25" s="6"/>
      <c r="D25" s="6"/>
      <c r="E25" s="6"/>
      <c r="F25" s="6"/>
      <c r="G25" s="6"/>
      <c r="H25" s="6"/>
      <c r="I25" s="6"/>
      <c r="J25" s="6"/>
      <c r="K25" s="1"/>
      <c r="L25" s="1"/>
      <c r="M25" s="1"/>
      <c r="N25" s="1"/>
      <c r="O25" s="1"/>
      <c r="P25" s="1"/>
      <c r="Q25" s="1"/>
      <c r="R25" s="1"/>
    </row>
    <row r="26" spans="1:18" ht="12.75">
      <c r="A26" s="1"/>
      <c r="B26" s="6"/>
      <c r="C26" s="6"/>
      <c r="D26" s="6"/>
      <c r="E26" s="6"/>
      <c r="F26" s="6"/>
      <c r="G26" s="6"/>
      <c r="H26" s="6"/>
      <c r="I26" s="6"/>
      <c r="J26" s="6"/>
      <c r="K26" s="1"/>
      <c r="L26" s="3"/>
      <c r="M26" s="3"/>
      <c r="N26" s="3"/>
      <c r="O26" s="3"/>
      <c r="P26" s="3"/>
      <c r="Q26" s="3"/>
      <c r="R26" s="3"/>
    </row>
    <row r="27" spans="1:18" ht="12.75">
      <c r="A27" s="1"/>
      <c r="B27" s="6"/>
      <c r="C27" s="6"/>
      <c r="D27" s="6"/>
      <c r="E27" s="6"/>
      <c r="F27" s="6"/>
      <c r="G27" s="6"/>
      <c r="H27" s="6"/>
      <c r="I27" s="6"/>
      <c r="J27" s="6"/>
      <c r="K27" s="1"/>
      <c r="L27" s="3"/>
      <c r="M27" s="3"/>
      <c r="N27" s="3"/>
      <c r="O27" s="3"/>
      <c r="P27" s="3"/>
      <c r="Q27" s="3"/>
      <c r="R27" s="3"/>
    </row>
    <row r="28" spans="1:18" ht="12.75">
      <c r="A28" s="1"/>
      <c r="B28" s="3"/>
      <c r="C28" s="3"/>
      <c r="D28" s="3"/>
      <c r="E28" s="3"/>
      <c r="F28" s="3"/>
      <c r="G28" s="3">
        <f aca="true" t="shared" si="1" ref="G28:G33">MAX($B$3-G17,0)</f>
        <v>0</v>
      </c>
      <c r="H28" s="6"/>
      <c r="I28" s="6"/>
      <c r="J28" s="1"/>
      <c r="K28" s="3"/>
      <c r="L28" s="3"/>
      <c r="M28" s="3"/>
      <c r="N28" s="3"/>
      <c r="O28" s="3"/>
      <c r="P28" s="3"/>
      <c r="Q28" s="3"/>
      <c r="R28" s="3"/>
    </row>
    <row r="29" spans="1:18" ht="12.75">
      <c r="A29" s="1"/>
      <c r="B29" s="3"/>
      <c r="C29" s="3"/>
      <c r="D29" s="3"/>
      <c r="E29" s="3"/>
      <c r="F29" s="3">
        <f>MAX($B$3-F18,EXP(-$B$4*$B$10)*($B$13*G28+$B$14*G29))</f>
        <v>0</v>
      </c>
      <c r="G29" s="3">
        <f t="shared" si="1"/>
        <v>0</v>
      </c>
      <c r="H29" s="6"/>
      <c r="I29" s="6"/>
      <c r="J29" s="1"/>
      <c r="K29" s="3"/>
      <c r="L29" s="3"/>
      <c r="M29" s="3"/>
      <c r="N29" s="3"/>
      <c r="O29" s="3"/>
      <c r="P29" s="3"/>
      <c r="Q29" s="3"/>
      <c r="R29" s="3"/>
    </row>
    <row r="30" spans="1:18" ht="12.75">
      <c r="A30" s="1"/>
      <c r="B30" s="3"/>
      <c r="C30" s="3"/>
      <c r="D30" s="3"/>
      <c r="E30" s="3">
        <f>MAX($B$3-E19,EXP(-$B$4*$B$10)*($B$13*F29+$B$14*F30))</f>
        <v>0</v>
      </c>
      <c r="F30" s="3">
        <f>MAX($B$3-F19,EXP(-$B$4*$B$10)*($B$13*G29+$B$14*G30))</f>
        <v>0</v>
      </c>
      <c r="G30" s="3">
        <f t="shared" si="1"/>
        <v>0</v>
      </c>
      <c r="H30" s="6"/>
      <c r="I30" s="6"/>
      <c r="J30" s="1"/>
      <c r="K30" s="3"/>
      <c r="L30" s="3"/>
      <c r="M30" s="3"/>
      <c r="N30" s="3"/>
      <c r="O30" s="3"/>
      <c r="P30" s="3"/>
      <c r="Q30" s="3"/>
      <c r="R30" s="3"/>
    </row>
    <row r="31" spans="2:18" ht="12.75">
      <c r="B31" s="3"/>
      <c r="C31" s="3"/>
      <c r="D31" s="3">
        <f>MAX($B$3-D20,EXP(-$B$4*$B$10)*($B$13*E30+$B$14*E31))</f>
        <v>1.9103942227577921</v>
      </c>
      <c r="E31" s="3">
        <f>MAX($B$3-E20,EXP(-$B$4*$B$10)*($B$13*F30+$B$14*F31))</f>
        <v>3.785588360551209</v>
      </c>
      <c r="F31" s="3">
        <f>MAX($B$3-F20,EXP(-$B$4*$B$10)*($B$13*G30+$B$14*G31))</f>
        <v>7.501425132480468</v>
      </c>
      <c r="G31" s="3">
        <f t="shared" si="1"/>
        <v>14.86463229985631</v>
      </c>
      <c r="H31" s="6"/>
      <c r="I31" s="6"/>
      <c r="K31" s="3"/>
      <c r="L31" s="3"/>
      <c r="M31" s="3"/>
      <c r="N31" s="3"/>
      <c r="O31" s="3"/>
      <c r="P31" s="3"/>
      <c r="Q31" s="3"/>
      <c r="R31" s="3"/>
    </row>
    <row r="32" spans="2:18" ht="12.75">
      <c r="B32" s="3"/>
      <c r="C32" s="3">
        <f>MAX($B$3-C21,EXP(-$B$4*$B$10)*($B$13*D31+$B$14*D32))</f>
        <v>5.703730719613234</v>
      </c>
      <c r="D32" s="3">
        <f>MAX($B$3-D21,EXP(-$B$4*$B$10)*($B$13*E31+$B$14*E32))</f>
        <v>9.446053564806107</v>
      </c>
      <c r="E32" s="3">
        <f>MAX($B$3-E21,EXP(-$B$4*$B$10)*($B$13*F31+$B$14*F32))</f>
        <v>15.039635037035811</v>
      </c>
      <c r="F32" s="3">
        <f>MAX($B$3-F21,EXP(-$B$4*$B$10)*($B$13*G31+$B$14*G32))</f>
        <v>22.513086859319635</v>
      </c>
      <c r="G32" s="3">
        <f t="shared" si="1"/>
        <v>29.327456433326248</v>
      </c>
      <c r="H32" s="6"/>
      <c r="I32" s="6"/>
      <c r="K32" s="3"/>
      <c r="L32" s="3"/>
      <c r="M32" s="3"/>
      <c r="N32" s="3"/>
      <c r="O32" s="3"/>
      <c r="P32" s="3"/>
      <c r="Q32" s="3"/>
      <c r="R32" s="3"/>
    </row>
    <row r="33" spans="1:18" ht="12.75">
      <c r="A33" s="1" t="s">
        <v>18</v>
      </c>
      <c r="B33" s="23">
        <f>MAX($B$3-B22,EXP(-$B$4*$B$10)*($B$13*C32+$B$14*C33))</f>
        <v>10.781750230521778</v>
      </c>
      <c r="C33" s="3">
        <f>MAX($B$3-C22,EXP(-$B$4*$B$10)*($B$13*D32+$B$14*D33))</f>
        <v>15.822575174620225</v>
      </c>
      <c r="D33" s="3">
        <f>MAX($B$3-D22,EXP(-$B$4*$B$10)*($B$13*E32+$B$14*E33))</f>
        <v>22.174962502835708</v>
      </c>
      <c r="E33" s="3">
        <f>MAX($B$3-E22,EXP(-$B$4*$B$10)*($B$13*F32+$B$14*F33))</f>
        <v>29.327456433326248</v>
      </c>
      <c r="F33" s="3">
        <f>MAX($B$3-F22,EXP(-$B$4*$B$10)*($B$13*G32+$B$14*G33))</f>
        <v>35.39870028136519</v>
      </c>
      <c r="G33" s="3">
        <f t="shared" si="1"/>
        <v>40.8078583057484</v>
      </c>
      <c r="H33" s="3"/>
      <c r="I33" s="6"/>
      <c r="J33" s="1"/>
      <c r="K33" s="3"/>
      <c r="L33" s="3"/>
      <c r="M33" s="3"/>
      <c r="N33" s="3"/>
      <c r="O33" s="3"/>
      <c r="P33" s="3"/>
      <c r="Q33" s="3"/>
      <c r="R33" s="3"/>
    </row>
    <row r="34" spans="2:18" ht="12.75">
      <c r="B34" s="7">
        <v>0</v>
      </c>
      <c r="C34" s="7">
        <f>B34+1</f>
        <v>1</v>
      </c>
      <c r="D34" s="7">
        <f>C34+1</f>
        <v>2</v>
      </c>
      <c r="E34" s="7">
        <f>D34+1</f>
        <v>3</v>
      </c>
      <c r="F34" s="7">
        <f>E34+1</f>
        <v>4</v>
      </c>
      <c r="G34" s="7">
        <f>F34+1</f>
        <v>5</v>
      </c>
      <c r="H34" s="6"/>
      <c r="I34" s="6"/>
      <c r="J34" s="6"/>
      <c r="K34" s="1"/>
      <c r="L34" s="1"/>
      <c r="M34" s="1"/>
      <c r="N34" s="1"/>
      <c r="O34" s="1"/>
      <c r="P34" s="1"/>
      <c r="Q34" s="1"/>
      <c r="R34" s="1"/>
    </row>
    <row r="35" spans="2:18" ht="12.75">
      <c r="B35" s="6"/>
      <c r="C35" s="6"/>
      <c r="D35" s="6"/>
      <c r="E35" s="6"/>
      <c r="F35" s="6"/>
      <c r="G35" s="6"/>
      <c r="H35" s="6"/>
      <c r="I35" s="6"/>
      <c r="J35" s="6"/>
      <c r="K35" s="1"/>
      <c r="L35" s="1"/>
      <c r="M35" s="1"/>
      <c r="N35" s="1"/>
      <c r="O35" s="1"/>
      <c r="P35" s="1"/>
      <c r="Q35" s="1"/>
      <c r="R35" s="1"/>
    </row>
    <row r="37" spans="2:18" ht="12.75">
      <c r="B37" s="9"/>
      <c r="C37" s="9"/>
      <c r="D37" s="9"/>
      <c r="E37" s="9"/>
      <c r="F37" s="9"/>
      <c r="G37" s="9"/>
      <c r="H37" s="9"/>
      <c r="I37" s="9"/>
      <c r="L37" s="3"/>
      <c r="M37" s="3"/>
      <c r="N37" s="3"/>
      <c r="O37" s="3"/>
      <c r="P37" s="3"/>
      <c r="Q37" s="3"/>
      <c r="R37" s="3"/>
    </row>
    <row r="38" spans="2:18" ht="12.75">
      <c r="B38" s="9"/>
      <c r="C38" s="9"/>
      <c r="D38" s="9"/>
      <c r="E38" s="9"/>
      <c r="F38" s="9"/>
      <c r="G38" s="9"/>
      <c r="H38" s="9"/>
      <c r="I38" s="9"/>
      <c r="L38" s="3"/>
      <c r="M38" s="3"/>
      <c r="N38" s="3"/>
      <c r="O38" s="3"/>
      <c r="P38" s="3"/>
      <c r="Q38" s="3"/>
      <c r="R38" s="3"/>
    </row>
    <row r="39" spans="2:18" ht="12.75">
      <c r="B39" s="9"/>
      <c r="C39" s="9"/>
      <c r="D39" s="9"/>
      <c r="E39" s="9"/>
      <c r="F39" s="9"/>
      <c r="G39" s="9"/>
      <c r="H39" s="9"/>
      <c r="I39" s="9"/>
      <c r="L39" s="3"/>
      <c r="M39" s="3"/>
      <c r="N39" s="3"/>
      <c r="O39" s="3"/>
      <c r="P39" s="3"/>
      <c r="Q39" s="3"/>
      <c r="R39" s="3"/>
    </row>
    <row r="40" spans="2:18" ht="12.75">
      <c r="B40" s="9"/>
      <c r="C40" s="9"/>
      <c r="D40" s="9"/>
      <c r="E40" s="9"/>
      <c r="F40" s="9"/>
      <c r="G40" s="9"/>
      <c r="H40" s="9"/>
      <c r="I40" s="9"/>
      <c r="L40" s="3"/>
      <c r="M40" s="3"/>
      <c r="N40" s="3"/>
      <c r="O40" s="3"/>
      <c r="P40" s="3"/>
      <c r="Q40" s="3"/>
      <c r="R40" s="3"/>
    </row>
    <row r="41" spans="2:18" ht="12.75">
      <c r="B41" s="9"/>
      <c r="C41" s="9"/>
      <c r="D41" s="9"/>
      <c r="E41" s="9"/>
      <c r="F41" s="9"/>
      <c r="G41" s="9"/>
      <c r="H41" s="9"/>
      <c r="I41" s="9"/>
      <c r="L41" s="3"/>
      <c r="M41" s="3"/>
      <c r="N41" s="3"/>
      <c r="O41" s="3"/>
      <c r="P41" s="3"/>
      <c r="Q41" s="3"/>
      <c r="R41" s="3"/>
    </row>
    <row r="42" spans="1:18" ht="12.75">
      <c r="A42" s="1"/>
      <c r="B42" s="9"/>
      <c r="C42" s="9"/>
      <c r="D42" s="9"/>
      <c r="E42" s="9"/>
      <c r="F42" s="9"/>
      <c r="G42" s="9"/>
      <c r="H42" s="9"/>
      <c r="I42" s="9"/>
      <c r="K42" s="1"/>
      <c r="L42" s="3"/>
      <c r="M42" s="3"/>
      <c r="N42" s="3"/>
      <c r="O42" s="3"/>
      <c r="P42" s="3"/>
      <c r="Q42" s="3"/>
      <c r="R42" s="3"/>
    </row>
    <row r="43" spans="2:18" ht="12.75">
      <c r="B43" s="9"/>
      <c r="C43" s="9"/>
      <c r="D43" s="9"/>
      <c r="E43" s="9"/>
      <c r="F43" s="9"/>
      <c r="G43" s="9"/>
      <c r="H43" s="9"/>
      <c r="I43" s="9"/>
      <c r="L43" s="3"/>
      <c r="M43" s="3"/>
      <c r="N43" s="3"/>
      <c r="O43" s="3"/>
      <c r="P43" s="3"/>
      <c r="Q43" s="3"/>
      <c r="R43" s="3"/>
    </row>
    <row r="44" spans="2:18" ht="12.75">
      <c r="B44" s="9"/>
      <c r="C44" s="9"/>
      <c r="D44" s="9"/>
      <c r="E44" s="9"/>
      <c r="F44" s="9"/>
      <c r="G44" s="9"/>
      <c r="H44" s="9"/>
      <c r="I44" s="9"/>
      <c r="L44" s="3"/>
      <c r="M44" s="3"/>
      <c r="N44" s="3"/>
      <c r="O44" s="3"/>
      <c r="P44" s="3"/>
      <c r="Q44" s="3"/>
      <c r="R44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4"/>
  <dimension ref="A1:R44"/>
  <sheetViews>
    <sheetView zoomScale="133" zoomScaleNormal="133" workbookViewId="0" topLeftCell="A16">
      <selection activeCell="E29" sqref="E29"/>
    </sheetView>
  </sheetViews>
  <sheetFormatPr defaultColWidth="9.140625" defaultRowHeight="12.75"/>
  <cols>
    <col min="2" max="2" width="8.421875" style="0" customWidth="1"/>
    <col min="3" max="4" width="8.00390625" style="0" customWidth="1"/>
    <col min="5" max="5" width="8.8515625" style="0" customWidth="1"/>
    <col min="6" max="6" width="8.00390625" style="0" customWidth="1"/>
    <col min="7" max="7" width="8.57421875" style="0" customWidth="1"/>
    <col min="8" max="9" width="8.140625" style="0" customWidth="1"/>
    <col min="10" max="10" width="7.140625" style="0" customWidth="1"/>
    <col min="11" max="11" width="6.421875" style="0" customWidth="1"/>
    <col min="12" max="13" width="7.57421875" style="0" customWidth="1"/>
    <col min="14" max="14" width="7.7109375" style="0" customWidth="1"/>
    <col min="15" max="15" width="7.28125" style="0" customWidth="1"/>
    <col min="16" max="16" width="7.7109375" style="0" customWidth="1"/>
    <col min="17" max="17" width="7.421875" style="0" customWidth="1"/>
    <col min="18" max="18" width="7.140625" style="0" customWidth="1"/>
  </cols>
  <sheetData>
    <row r="1" ht="12.75">
      <c r="A1" s="1" t="s">
        <v>19</v>
      </c>
    </row>
    <row r="2" spans="1:5" ht="12.75">
      <c r="A2" s="1" t="s">
        <v>1</v>
      </c>
      <c r="B2" s="1">
        <v>82</v>
      </c>
      <c r="C2" s="1"/>
      <c r="D2" s="1"/>
      <c r="E2" s="1"/>
    </row>
    <row r="3" spans="1:5" ht="12.75">
      <c r="A3" s="1" t="s">
        <v>2</v>
      </c>
      <c r="B3" s="1">
        <v>85</v>
      </c>
      <c r="C3" s="1"/>
      <c r="D3" s="1"/>
      <c r="E3" s="1"/>
    </row>
    <row r="4" spans="1:3" ht="12.75">
      <c r="A4" s="1" t="s">
        <v>3</v>
      </c>
      <c r="B4" s="2">
        <v>0.06</v>
      </c>
      <c r="C4" s="2"/>
    </row>
    <row r="5" spans="1:3" ht="12.75">
      <c r="A5" s="1" t="s">
        <v>4</v>
      </c>
      <c r="B5" s="1">
        <f>5/12</f>
        <v>0.4166666666666667</v>
      </c>
      <c r="C5" s="1"/>
    </row>
    <row r="6" spans="1:5" ht="12.75">
      <c r="A6" s="1" t="s">
        <v>5</v>
      </c>
      <c r="B6" s="2">
        <v>0.4</v>
      </c>
      <c r="C6" s="3"/>
      <c r="D6" s="1"/>
      <c r="E6" s="1"/>
    </row>
    <row r="7" spans="1:15" ht="12.75">
      <c r="A7" s="1" t="s">
        <v>6</v>
      </c>
      <c r="B7" s="1">
        <v>4</v>
      </c>
      <c r="C7" s="3"/>
      <c r="E7" s="1"/>
      <c r="K7" s="3"/>
      <c r="L7" s="3"/>
      <c r="M7" s="3"/>
      <c r="N7" s="3"/>
      <c r="O7" s="3"/>
    </row>
    <row r="8" spans="1:5" ht="12.75">
      <c r="A8" s="1" t="s">
        <v>7</v>
      </c>
      <c r="B8" s="4">
        <f>5/24</f>
        <v>0.20833333333333334</v>
      </c>
      <c r="C8" s="3"/>
      <c r="D8" s="1"/>
      <c r="E8" s="1"/>
    </row>
    <row r="9" spans="1:5" ht="12.75">
      <c r="A9" s="1" t="s">
        <v>8</v>
      </c>
      <c r="B9" s="1">
        <v>5</v>
      </c>
      <c r="C9" s="3"/>
      <c r="D9" s="1"/>
      <c r="E9" s="1"/>
    </row>
    <row r="10" spans="1:5" ht="12.75">
      <c r="A10" s="1" t="s">
        <v>9</v>
      </c>
      <c r="B10" s="5">
        <f>B5/B9</f>
        <v>0.08333333333333334</v>
      </c>
      <c r="C10" s="3"/>
      <c r="D10" s="1"/>
      <c r="E10" s="1"/>
    </row>
    <row r="11" spans="1:7" ht="12.75">
      <c r="A11" s="1" t="s">
        <v>10</v>
      </c>
      <c r="B11" s="4">
        <f>EXP(B6*(B10^0.5))</f>
        <v>1.1224009024456676</v>
      </c>
      <c r="C11" s="1"/>
      <c r="D11" s="24"/>
      <c r="E11" s="24"/>
      <c r="F11" s="25"/>
      <c r="G11" s="3">
        <f>F12*$B$11</f>
        <v>141.02846313384248</v>
      </c>
    </row>
    <row r="12" spans="1:7" ht="12.75">
      <c r="A12" s="1" t="s">
        <v>11</v>
      </c>
      <c r="B12" s="4">
        <f>1/B11</f>
        <v>0.8909472522884107</v>
      </c>
      <c r="C12" s="1"/>
      <c r="D12" s="24"/>
      <c r="E12" s="24"/>
      <c r="F12" s="3">
        <f>E13*$B$11</f>
        <v>125.64892172355437</v>
      </c>
      <c r="G12" s="3">
        <f>F13*$B$11</f>
        <v>111.94656156260235</v>
      </c>
    </row>
    <row r="13" spans="1:7" ht="12.75">
      <c r="A13" s="1" t="s">
        <v>16</v>
      </c>
      <c r="B13" s="4">
        <f>(EXP(B4*B10)-B12)/(B11-B12)</f>
        <v>0.492821212771934</v>
      </c>
      <c r="C13" s="1"/>
      <c r="D13" s="24"/>
      <c r="E13" s="19">
        <f>D20*$B$11-B7</f>
        <v>111.94656156260235</v>
      </c>
      <c r="F13" s="3">
        <f>E13*$B$12</f>
        <v>99.73848142733597</v>
      </c>
      <c r="G13" s="3">
        <f>F13*$B$12</f>
        <v>88.86172597510367</v>
      </c>
    </row>
    <row r="14" spans="1:7" ht="12.75">
      <c r="A14" s="1" t="s">
        <v>17</v>
      </c>
      <c r="B14" s="4">
        <f>1-B13</f>
        <v>0.507178787228066</v>
      </c>
      <c r="C14" s="1"/>
      <c r="D14" s="15"/>
      <c r="F14" s="14"/>
      <c r="G14" s="3">
        <f>F15*$B$11</f>
        <v>110.90742641935896</v>
      </c>
    </row>
    <row r="15" spans="1:18" ht="12.75">
      <c r="A15" s="1"/>
      <c r="B15" s="6"/>
      <c r="C15" s="6"/>
      <c r="D15" s="12"/>
      <c r="F15" s="3">
        <f>E16*$B$11</f>
        <v>98.81266682670694</v>
      </c>
      <c r="G15" s="3">
        <f>F16*$B$11</f>
        <v>88.03687400054474</v>
      </c>
      <c r="H15" s="6"/>
      <c r="I15" s="6"/>
      <c r="J15" s="6"/>
      <c r="K15" s="1"/>
      <c r="L15" s="1"/>
      <c r="M15" s="1"/>
      <c r="N15" s="1"/>
      <c r="O15" s="1"/>
      <c r="P15" s="1"/>
      <c r="Q15" s="1"/>
      <c r="R15" s="3"/>
    </row>
    <row r="16" spans="1:18" ht="12.75">
      <c r="A16" s="1"/>
      <c r="B16" s="6"/>
      <c r="C16" s="3"/>
      <c r="D16" s="12"/>
      <c r="E16" s="19">
        <f>D21*$B$11-B7</f>
        <v>88.03687400054474</v>
      </c>
      <c r="F16" s="26">
        <f>E16*$B$12</f>
        <v>78.43621099084636</v>
      </c>
      <c r="G16" s="3">
        <f>F16*$B$12</f>
        <v>69.8825266622086</v>
      </c>
      <c r="H16" s="6"/>
      <c r="I16" s="6"/>
      <c r="J16" s="6"/>
      <c r="K16" s="1"/>
      <c r="L16" s="1"/>
      <c r="M16" s="1"/>
      <c r="N16" s="1"/>
      <c r="O16" s="1"/>
      <c r="P16" s="1"/>
      <c r="Q16" s="1"/>
      <c r="R16" s="3"/>
    </row>
    <row r="17" spans="1:18" ht="12.75">
      <c r="A17" s="1"/>
      <c r="B17" s="3"/>
      <c r="D17" s="25"/>
      <c r="F17" s="14"/>
      <c r="G17" s="3">
        <f>F18*$B$11</f>
        <v>86.99773885730136</v>
      </c>
      <c r="H17" s="6"/>
      <c r="J17" s="6"/>
      <c r="K17" s="3"/>
      <c r="L17" s="3"/>
      <c r="M17" s="3"/>
      <c r="N17" s="3"/>
      <c r="O17" s="3"/>
      <c r="P17" s="3"/>
      <c r="Q17" s="3"/>
      <c r="R17" s="3"/>
    </row>
    <row r="18" spans="1:18" ht="12.75">
      <c r="A18" s="1"/>
      <c r="B18" s="3"/>
      <c r="C18" s="3"/>
      <c r="D18" s="25"/>
      <c r="F18" s="26">
        <f>E19*$B$11</f>
        <v>77.51039639021734</v>
      </c>
      <c r="G18" s="3">
        <f>F19*$B$11</f>
        <v>69.05767468764968</v>
      </c>
      <c r="H18" s="6"/>
      <c r="J18" s="6"/>
      <c r="K18" s="3"/>
      <c r="L18" s="3"/>
      <c r="M18" s="3"/>
      <c r="N18" s="3"/>
      <c r="O18" s="3"/>
      <c r="P18" s="3"/>
      <c r="Q18" s="3"/>
      <c r="R18" s="3"/>
    </row>
    <row r="19" spans="1:18" ht="12.75">
      <c r="A19" s="1" t="s">
        <v>13</v>
      </c>
      <c r="B19" s="3"/>
      <c r="C19" s="3"/>
      <c r="D19" s="12"/>
      <c r="E19" s="19">
        <f>D22*$B$11-B7</f>
        <v>69.05767468764968</v>
      </c>
      <c r="F19" s="3">
        <f>E19*$B$12</f>
        <v>61.52674551238841</v>
      </c>
      <c r="G19" s="3">
        <f>F19*$B$12</f>
        <v>54.81708485651075</v>
      </c>
      <c r="H19" s="6"/>
      <c r="J19" s="1"/>
      <c r="K19" s="3"/>
      <c r="L19" s="3"/>
      <c r="M19" s="3"/>
      <c r="N19" s="3"/>
      <c r="O19" s="3"/>
      <c r="P19" s="3"/>
      <c r="Q19" s="3"/>
      <c r="R19" s="3"/>
    </row>
    <row r="20" spans="1:18" ht="12.75">
      <c r="A20" s="1"/>
      <c r="B20" s="3"/>
      <c r="D20" s="3">
        <f>C21*$B$11</f>
        <v>103.30227043648962</v>
      </c>
      <c r="F20" s="14"/>
      <c r="G20" s="3">
        <f>F21*$B$11</f>
        <v>68.01853954440628</v>
      </c>
      <c r="H20" s="6"/>
      <c r="J20" s="6"/>
      <c r="K20" s="3"/>
      <c r="L20" s="3"/>
      <c r="M20" s="3"/>
      <c r="N20" s="3"/>
      <c r="O20" s="3"/>
      <c r="P20" s="3"/>
      <c r="Q20" s="3"/>
      <c r="R20" s="3"/>
    </row>
    <row r="21" spans="1:18" ht="12.75">
      <c r="A21" s="1"/>
      <c r="B21" s="3"/>
      <c r="C21" s="3">
        <f>B22*$B$11</f>
        <v>92.03687400054474</v>
      </c>
      <c r="D21" s="3">
        <f>C22*$B$11</f>
        <v>82</v>
      </c>
      <c r="F21" s="3">
        <f>E22*$B$11</f>
        <v>60.60093091175938</v>
      </c>
      <c r="G21" s="3">
        <f>F22*$B$11</f>
        <v>53.99223288195183</v>
      </c>
      <c r="H21" s="6"/>
      <c r="J21" s="6"/>
      <c r="K21" s="3"/>
      <c r="L21" s="3"/>
      <c r="M21" s="3"/>
      <c r="N21" s="3"/>
      <c r="O21" s="3"/>
      <c r="P21" s="3"/>
      <c r="Q21" s="3"/>
      <c r="R21" s="3"/>
    </row>
    <row r="22" spans="1:18" ht="12.75">
      <c r="A22" s="1"/>
      <c r="B22" s="3">
        <f>B2</f>
        <v>82</v>
      </c>
      <c r="C22" s="3">
        <f>B22*$B$12</f>
        <v>73.05767468764968</v>
      </c>
      <c r="D22" s="3">
        <f>C22*$B$12</f>
        <v>65.09053452154205</v>
      </c>
      <c r="E22" s="19">
        <f>D22*$B$12-B7</f>
        <v>53.99223288195183</v>
      </c>
      <c r="F22" s="3">
        <f>E22*$B$12</f>
        <v>48.10423153109096</v>
      </c>
      <c r="G22" s="3">
        <f>F22*$B$12</f>
        <v>42.85833290607101</v>
      </c>
      <c r="H22" s="6"/>
      <c r="J22" s="6"/>
      <c r="K22" s="3"/>
      <c r="L22" s="3"/>
      <c r="M22" s="3"/>
      <c r="N22" s="3"/>
      <c r="O22" s="3"/>
      <c r="P22" s="3"/>
      <c r="Q22" s="3"/>
      <c r="R22" s="3"/>
    </row>
    <row r="23" spans="1:18" ht="12.75">
      <c r="A23" s="1"/>
      <c r="B23" s="7">
        <v>0</v>
      </c>
      <c r="C23" s="7">
        <f>B23+1</f>
        <v>1</v>
      </c>
      <c r="D23" s="7">
        <f>C23+1</f>
        <v>2</v>
      </c>
      <c r="E23" s="7">
        <f>D23+1</f>
        <v>3</v>
      </c>
      <c r="F23" s="7">
        <f>E23+1</f>
        <v>4</v>
      </c>
      <c r="G23" s="7">
        <f>F23+1</f>
        <v>5</v>
      </c>
      <c r="H23" s="8"/>
      <c r="J23" s="8"/>
      <c r="K23" s="7"/>
      <c r="L23" s="7"/>
      <c r="M23" s="7"/>
      <c r="N23" s="7"/>
      <c r="O23" s="7"/>
      <c r="P23" s="7"/>
      <c r="Q23" s="1"/>
      <c r="R23" s="1"/>
    </row>
    <row r="24" spans="1:18" ht="12.75">
      <c r="A24" s="1"/>
      <c r="H24" s="6"/>
      <c r="I24" s="6"/>
      <c r="J24" s="6"/>
      <c r="K24" s="1"/>
      <c r="L24" s="1"/>
      <c r="M24" s="1"/>
      <c r="N24" s="1"/>
      <c r="O24" s="1"/>
      <c r="P24" s="1"/>
      <c r="Q24" s="1"/>
      <c r="R24" s="1"/>
    </row>
    <row r="25" spans="1:18" ht="12.75">
      <c r="A25" s="1"/>
      <c r="B25" s="6"/>
      <c r="C25" s="6"/>
      <c r="D25" s="6"/>
      <c r="E25" s="6"/>
      <c r="F25" s="6"/>
      <c r="G25" s="6"/>
      <c r="H25" s="6"/>
      <c r="I25" s="6"/>
      <c r="J25" s="6"/>
      <c r="K25" s="1"/>
      <c r="L25" s="1"/>
      <c r="M25" s="1"/>
      <c r="N25" s="1"/>
      <c r="O25" s="1"/>
      <c r="P25" s="1"/>
      <c r="Q25" s="1"/>
      <c r="R25" s="1"/>
    </row>
    <row r="26" spans="1:18" ht="12.75">
      <c r="A26" s="1"/>
      <c r="B26" s="6"/>
      <c r="C26" s="6"/>
      <c r="D26" s="6"/>
      <c r="E26" s="6"/>
      <c r="F26" s="6"/>
      <c r="G26" s="6"/>
      <c r="H26" s="6"/>
      <c r="I26" s="6"/>
      <c r="J26" s="6"/>
      <c r="K26" s="1"/>
      <c r="L26" s="3"/>
      <c r="M26" s="3"/>
      <c r="N26" s="3"/>
      <c r="O26" s="3"/>
      <c r="P26" s="3"/>
      <c r="Q26" s="3"/>
      <c r="R26" s="3"/>
    </row>
    <row r="27" spans="1:18" ht="12.75">
      <c r="A27" s="1"/>
      <c r="B27" s="6"/>
      <c r="C27" s="6"/>
      <c r="D27" s="6"/>
      <c r="E27" s="6"/>
      <c r="F27" s="6"/>
      <c r="G27" s="6"/>
      <c r="H27" s="6"/>
      <c r="I27" s="6"/>
      <c r="J27" s="6"/>
      <c r="K27" s="1"/>
      <c r="L27" s="3"/>
      <c r="M27" s="3"/>
      <c r="N27" s="3"/>
      <c r="O27" s="3"/>
      <c r="P27" s="3"/>
      <c r="Q27" s="3"/>
      <c r="R27" s="3"/>
    </row>
    <row r="28" spans="1:18" ht="12.75">
      <c r="A28" s="1"/>
      <c r="B28" s="3"/>
      <c r="C28" s="3"/>
      <c r="D28" s="3"/>
      <c r="E28" s="3"/>
      <c r="F28" s="3"/>
      <c r="G28" s="3">
        <f aca="true" t="shared" si="0" ref="G28:G33">MAX($B$3-G17,0)</f>
        <v>0</v>
      </c>
      <c r="H28" s="6"/>
      <c r="I28" s="6"/>
      <c r="J28" s="1"/>
      <c r="K28" s="3"/>
      <c r="L28" s="3"/>
      <c r="M28" s="3"/>
      <c r="N28" s="3"/>
      <c r="O28" s="3"/>
      <c r="P28" s="3"/>
      <c r="Q28" s="3"/>
      <c r="R28" s="3"/>
    </row>
    <row r="29" spans="1:18" ht="12.75">
      <c r="A29" s="1"/>
      <c r="B29" s="3"/>
      <c r="C29" s="3"/>
      <c r="D29" s="3"/>
      <c r="E29" s="3"/>
      <c r="F29" s="3">
        <f>MAX(EXP(-$B$4*$B$10)*($B$13*G28+$B$14*G29),$B$3-F18)</f>
        <v>8.045282073300946</v>
      </c>
      <c r="G29" s="3">
        <f t="shared" si="0"/>
        <v>15.94232531235032</v>
      </c>
      <c r="H29" s="6"/>
      <c r="I29" s="6"/>
      <c r="J29" s="1"/>
      <c r="K29" s="3"/>
      <c r="L29" s="3"/>
      <c r="M29" s="3"/>
      <c r="N29" s="3"/>
      <c r="O29" s="3"/>
      <c r="P29" s="3"/>
      <c r="Q29" s="3"/>
      <c r="R29" s="3"/>
    </row>
    <row r="30" spans="1:18" ht="12.75">
      <c r="A30" s="1"/>
      <c r="B30" s="3"/>
      <c r="C30" s="3"/>
      <c r="D30" s="3"/>
      <c r="E30" s="3">
        <f>MAX(EXP(-$B$4*$B$10)*($B$13*F29+$B$14*F30),$B$3-E19)</f>
        <v>15.94232531235032</v>
      </c>
      <c r="F30" s="3">
        <f>MAX(EXP(-$B$4*$B$10)*($B$13*G29+$B$14*G30),$B$3-F19)</f>
        <v>23.47325448761159</v>
      </c>
      <c r="G30" s="3">
        <f t="shared" si="0"/>
        <v>30.182915143489247</v>
      </c>
      <c r="H30" s="6"/>
      <c r="I30" s="6"/>
      <c r="J30" s="1"/>
      <c r="K30" s="3"/>
      <c r="L30" s="3"/>
      <c r="M30" s="3"/>
      <c r="N30" s="3"/>
      <c r="O30" s="3"/>
      <c r="P30" s="3"/>
      <c r="Q30" s="3"/>
      <c r="R30" s="3"/>
    </row>
    <row r="31" spans="2:18" ht="12.75">
      <c r="B31" s="3"/>
      <c r="C31" s="3"/>
      <c r="D31" s="3">
        <f>MAX(EXP(-$B$4*$B$10)*($B$13*E30+$B$14*E31),$B$3-D16)</f>
        <v>85</v>
      </c>
      <c r="E31" s="3">
        <f>MAX(EXP(-$B$4*$B$10)*($B$13*F30+$B$14*F31),$B$3-E13)</f>
        <v>54.40560542660539</v>
      </c>
      <c r="F31" s="3">
        <f>MAX(EXP(-$B$4*$B$10)*($B$13*G30+$B$14*G31),$B$3-F20)</f>
        <v>85</v>
      </c>
      <c r="G31" s="3">
        <f t="shared" si="0"/>
        <v>16.98146045559372</v>
      </c>
      <c r="H31" s="6"/>
      <c r="I31" s="6"/>
      <c r="K31" s="3"/>
      <c r="L31" s="3"/>
      <c r="M31" s="3"/>
      <c r="N31" s="3"/>
      <c r="O31" s="3"/>
      <c r="P31" s="3"/>
      <c r="Q31" s="3"/>
      <c r="R31" s="3"/>
    </row>
    <row r="32" spans="2:18" ht="12.75">
      <c r="B32" s="3"/>
      <c r="C32" s="3">
        <f>MAX(EXP(-$B$4*$B$10)*($B$13*D31+$B$14*D32),$B$3-C19)</f>
        <v>85</v>
      </c>
      <c r="D32" s="3">
        <f>MAX(EXP(-$B$4*$B$10)*($B$13*E31+$B$14*E32),$B$3-D19)</f>
        <v>85</v>
      </c>
      <c r="E32" s="3">
        <f>MAX(EXP(-$B$4*$B$10)*($B$13*F31+$B$14*F32),$B$3-E19)</f>
        <v>53.99384806557404</v>
      </c>
      <c r="F32" s="3">
        <f>MAX(EXP(-$B$4*$B$10)*($B$13*G31+$B$14*G32),$B$3-F21)</f>
        <v>24.399069088240623</v>
      </c>
      <c r="G32" s="3">
        <f t="shared" si="0"/>
        <v>31.00776711804817</v>
      </c>
      <c r="H32" s="6"/>
      <c r="I32" s="6"/>
      <c r="K32" s="3"/>
      <c r="L32" s="3"/>
      <c r="M32" s="3"/>
      <c r="N32" s="3"/>
      <c r="O32" s="3"/>
      <c r="P32" s="3"/>
      <c r="Q32" s="3"/>
      <c r="R32" s="3"/>
    </row>
    <row r="33" spans="1:18" ht="12.75">
      <c r="A33" s="1" t="s">
        <v>18</v>
      </c>
      <c r="B33" s="11">
        <f>MAX(EXP(-$B$4*$B$10)*($B$13*C32+$B$14*C33),$B$3-B22)</f>
        <v>73.44301746826483</v>
      </c>
      <c r="C33" s="3">
        <f>MAX(EXP(-$B$4*$B$10)*($B$13*D32+$B$14*D33),$B$3-C22)</f>
        <v>62.93904603966258</v>
      </c>
      <c r="D33" s="3">
        <f>MAX(EXP(-$B$4*$B$10)*($B$13*E32+$B$14*E33),$B$3-D22)</f>
        <v>42.12464474699256</v>
      </c>
      <c r="E33" s="3">
        <f>MAX(EXP(-$B$4*$B$10)*($B$13*F32+$B$14*F33),$B$3-E22)</f>
        <v>31.00776711804817</v>
      </c>
      <c r="F33" s="3">
        <f>MAX(EXP(-$B$4*$B$10)*($B$13*G32+$B$14*G33),$B$3-F22)</f>
        <v>36.89576846890904</v>
      </c>
      <c r="G33" s="3">
        <f t="shared" si="0"/>
        <v>42.14166709392899</v>
      </c>
      <c r="H33" s="6"/>
      <c r="I33" s="6"/>
      <c r="J33" s="1"/>
      <c r="K33" s="3"/>
      <c r="L33" s="3"/>
      <c r="M33" s="3"/>
      <c r="N33" s="3"/>
      <c r="O33" s="3"/>
      <c r="P33" s="3"/>
      <c r="Q33" s="3"/>
      <c r="R33" s="3"/>
    </row>
    <row r="34" spans="2:18" ht="12.75">
      <c r="B34" s="6"/>
      <c r="C34" s="6"/>
      <c r="D34" s="6"/>
      <c r="E34" s="6"/>
      <c r="F34" s="6"/>
      <c r="G34" s="6"/>
      <c r="H34" s="6"/>
      <c r="I34" s="6"/>
      <c r="J34" s="6"/>
      <c r="K34" s="1"/>
      <c r="L34" s="1"/>
      <c r="M34" s="1"/>
      <c r="N34" s="1"/>
      <c r="O34" s="1"/>
      <c r="P34" s="1"/>
      <c r="Q34" s="1"/>
      <c r="R34" s="1"/>
    </row>
    <row r="35" spans="2:18" ht="12.75">
      <c r="B35" s="6"/>
      <c r="C35" s="6"/>
      <c r="D35" s="6"/>
      <c r="E35" s="6"/>
      <c r="F35" s="6"/>
      <c r="G35" s="6"/>
      <c r="H35" s="6"/>
      <c r="I35" s="6"/>
      <c r="J35" s="6"/>
      <c r="K35" s="1"/>
      <c r="L35" s="1"/>
      <c r="M35" s="1"/>
      <c r="N35" s="1"/>
      <c r="O35" s="1"/>
      <c r="P35" s="1"/>
      <c r="Q35" s="1"/>
      <c r="R35" s="1"/>
    </row>
    <row r="37" spans="2:18" ht="12.75">
      <c r="B37" s="9"/>
      <c r="C37" s="9"/>
      <c r="D37" s="9"/>
      <c r="E37" s="9"/>
      <c r="F37" s="9"/>
      <c r="G37" s="9"/>
      <c r="H37" s="9"/>
      <c r="I37" s="9"/>
      <c r="L37" s="3"/>
      <c r="M37" s="3"/>
      <c r="N37" s="3"/>
      <c r="O37" s="3"/>
      <c r="P37" s="3"/>
      <c r="Q37" s="3"/>
      <c r="R37" s="3"/>
    </row>
    <row r="38" spans="2:18" ht="12.75">
      <c r="B38" s="9"/>
      <c r="C38" s="9"/>
      <c r="D38" s="9"/>
      <c r="E38" s="9"/>
      <c r="F38" s="9"/>
      <c r="G38" s="9"/>
      <c r="H38" s="9"/>
      <c r="I38" s="9"/>
      <c r="L38" s="3"/>
      <c r="M38" s="3"/>
      <c r="N38" s="3"/>
      <c r="O38" s="3"/>
      <c r="P38" s="3"/>
      <c r="Q38" s="3"/>
      <c r="R38" s="3"/>
    </row>
    <row r="39" spans="2:18" ht="12.75">
      <c r="B39" s="9"/>
      <c r="C39" s="9"/>
      <c r="D39" s="9"/>
      <c r="E39" s="9"/>
      <c r="F39" s="9"/>
      <c r="G39" s="9"/>
      <c r="H39" s="9"/>
      <c r="I39" s="9"/>
      <c r="L39" s="3"/>
      <c r="M39" s="3"/>
      <c r="N39" s="3"/>
      <c r="O39" s="3"/>
      <c r="P39" s="3"/>
      <c r="Q39" s="3"/>
      <c r="R39" s="3"/>
    </row>
    <row r="40" spans="2:18" ht="12.75">
      <c r="B40" s="9"/>
      <c r="C40" s="9"/>
      <c r="D40" s="9"/>
      <c r="E40" s="9"/>
      <c r="F40" s="9"/>
      <c r="G40" s="9"/>
      <c r="H40" s="9"/>
      <c r="I40" s="9"/>
      <c r="L40" s="3"/>
      <c r="M40" s="3"/>
      <c r="N40" s="3"/>
      <c r="O40" s="3"/>
      <c r="P40" s="3"/>
      <c r="Q40" s="3"/>
      <c r="R40" s="3"/>
    </row>
    <row r="41" spans="2:18" ht="12.75">
      <c r="B41" s="9"/>
      <c r="C41" s="9"/>
      <c r="D41" s="9"/>
      <c r="E41" s="9"/>
      <c r="F41" s="9"/>
      <c r="G41" s="9"/>
      <c r="H41" s="9"/>
      <c r="I41" s="9"/>
      <c r="L41" s="3"/>
      <c r="M41" s="3"/>
      <c r="N41" s="3"/>
      <c r="O41" s="3"/>
      <c r="P41" s="3"/>
      <c r="Q41" s="3"/>
      <c r="R41" s="3"/>
    </row>
    <row r="42" spans="1:18" ht="12.75">
      <c r="A42" s="1"/>
      <c r="B42" s="9"/>
      <c r="C42" s="9"/>
      <c r="D42" s="9"/>
      <c r="E42" s="9"/>
      <c r="F42" s="9"/>
      <c r="G42" s="9"/>
      <c r="H42" s="9"/>
      <c r="I42" s="9"/>
      <c r="K42" s="1"/>
      <c r="L42" s="3"/>
      <c r="M42" s="3"/>
      <c r="N42" s="3"/>
      <c r="O42" s="3"/>
      <c r="P42" s="3"/>
      <c r="Q42" s="3"/>
      <c r="R42" s="3"/>
    </row>
    <row r="43" spans="2:18" ht="12.75">
      <c r="B43" s="9"/>
      <c r="C43" s="9"/>
      <c r="D43" s="9"/>
      <c r="E43" s="9"/>
      <c r="F43" s="9"/>
      <c r="G43" s="9"/>
      <c r="H43" s="9"/>
      <c r="I43" s="9"/>
      <c r="L43" s="3"/>
      <c r="M43" s="3"/>
      <c r="N43" s="3"/>
      <c r="O43" s="3"/>
      <c r="P43" s="3"/>
      <c r="Q43" s="3"/>
      <c r="R43" s="3"/>
    </row>
    <row r="44" spans="2:18" ht="12.75">
      <c r="B44" s="9"/>
      <c r="C44" s="9"/>
      <c r="D44" s="9"/>
      <c r="E44" s="9"/>
      <c r="F44" s="9"/>
      <c r="G44" s="9"/>
      <c r="H44" s="9"/>
      <c r="I44" s="9"/>
      <c r="L44" s="3"/>
      <c r="M44" s="3"/>
      <c r="N44" s="3"/>
      <c r="O44" s="3"/>
      <c r="P44" s="3"/>
      <c r="Q44" s="3"/>
      <c r="R44" s="3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2"/>
  <dimension ref="A1:Q44"/>
  <sheetViews>
    <sheetView zoomScale="122" zoomScaleNormal="122" workbookViewId="0" topLeftCell="A11">
      <selection activeCell="J29" sqref="J29"/>
    </sheetView>
  </sheetViews>
  <sheetFormatPr defaultColWidth="9.140625" defaultRowHeight="12.75"/>
  <cols>
    <col min="1" max="1" width="8.421875" style="0" customWidth="1"/>
    <col min="2" max="2" width="7.7109375" style="0" customWidth="1"/>
    <col min="3" max="4" width="8.00390625" style="0" customWidth="1"/>
    <col min="5" max="5" width="8.8515625" style="0" customWidth="1"/>
    <col min="6" max="6" width="8.00390625" style="0" customWidth="1"/>
    <col min="7" max="7" width="8.57421875" style="0" customWidth="1"/>
    <col min="8" max="8" width="4.28125" style="0" customWidth="1"/>
    <col min="9" max="9" width="3.28125" style="0" customWidth="1"/>
    <col min="10" max="11" width="7.140625" style="0" customWidth="1"/>
    <col min="12" max="12" width="7.57421875" style="0" customWidth="1"/>
    <col min="13" max="13" width="7.7109375" style="0" customWidth="1"/>
    <col min="14" max="14" width="7.421875" style="0" customWidth="1"/>
    <col min="15" max="15" width="7.7109375" style="0" customWidth="1"/>
    <col min="16" max="16" width="7.421875" style="0" customWidth="1"/>
    <col min="17" max="17" width="7.140625" style="0" customWidth="1"/>
  </cols>
  <sheetData>
    <row r="1" ht="12.75">
      <c r="A1" s="1" t="s">
        <v>0</v>
      </c>
    </row>
    <row r="2" spans="1:5" ht="12.75">
      <c r="A2" s="1" t="s">
        <v>1</v>
      </c>
      <c r="B2" s="1">
        <v>82</v>
      </c>
      <c r="C2" s="1"/>
      <c r="D2" s="1"/>
      <c r="E2" s="1"/>
    </row>
    <row r="3" spans="1:5" ht="12.75">
      <c r="A3" s="1" t="s">
        <v>2</v>
      </c>
      <c r="B3" s="1">
        <v>85</v>
      </c>
      <c r="C3" s="1"/>
      <c r="D3" s="1"/>
      <c r="E3" s="1"/>
    </row>
    <row r="4" spans="1:3" ht="12.75">
      <c r="A4" s="1" t="s">
        <v>3</v>
      </c>
      <c r="B4" s="2">
        <v>0.06</v>
      </c>
      <c r="C4" s="2"/>
    </row>
    <row r="5" spans="1:3" ht="12.75">
      <c r="A5" s="1" t="s">
        <v>4</v>
      </c>
      <c r="B5" s="1">
        <f>5/12</f>
        <v>0.4166666666666667</v>
      </c>
      <c r="C5" s="1"/>
    </row>
    <row r="6" spans="1:10" ht="12.75">
      <c r="A6" s="1" t="s">
        <v>5</v>
      </c>
      <c r="B6" s="2">
        <v>0.4</v>
      </c>
      <c r="C6" s="3"/>
      <c r="D6" s="1"/>
      <c r="E6" s="1"/>
      <c r="J6" t="s">
        <v>28</v>
      </c>
    </row>
    <row r="7" spans="1:14" ht="12.75">
      <c r="A7" s="1" t="s">
        <v>6</v>
      </c>
      <c r="B7" s="1">
        <v>4</v>
      </c>
      <c r="C7" s="3"/>
      <c r="E7" s="1"/>
      <c r="J7" s="10">
        <f>$B$7*EXP(-$B$4*($B$8-J23*$B$10))</f>
        <v>3.9503112019755258</v>
      </c>
      <c r="K7" s="3">
        <f>$B$7*EXP(-$B$4*($B$8-K23*$B$10))</f>
        <v>3.9701122192765537</v>
      </c>
      <c r="L7" s="3">
        <f>$B$7*EXP(-$B$4*($B$8-L23*$B$10))</f>
        <v>3.9900124895898403</v>
      </c>
      <c r="M7" s="3"/>
      <c r="N7" s="3"/>
    </row>
    <row r="8" spans="1:5" ht="12.75">
      <c r="A8" s="1" t="s">
        <v>7</v>
      </c>
      <c r="B8" s="4">
        <f>5/24</f>
        <v>0.20833333333333334</v>
      </c>
      <c r="C8" s="3"/>
      <c r="D8" s="1"/>
      <c r="E8" s="1"/>
    </row>
    <row r="9" spans="1:5" ht="12.75">
      <c r="A9" s="1" t="s">
        <v>8</v>
      </c>
      <c r="B9" s="1">
        <v>5</v>
      </c>
      <c r="C9" s="3"/>
      <c r="D9" s="1"/>
      <c r="E9" s="1"/>
    </row>
    <row r="10" spans="1:5" ht="12.75">
      <c r="A10" s="1" t="s">
        <v>9</v>
      </c>
      <c r="B10" s="5">
        <f>B5/B9</f>
        <v>0.08333333333333334</v>
      </c>
      <c r="C10" s="3"/>
      <c r="D10" s="1"/>
      <c r="E10" s="1"/>
    </row>
    <row r="11" spans="1:5" ht="12.75">
      <c r="A11" s="1" t="s">
        <v>10</v>
      </c>
      <c r="B11" s="4">
        <f>EXP(B6*(B10^0.5))</f>
        <v>1.1224009024456676</v>
      </c>
      <c r="C11" s="1"/>
      <c r="D11" s="1"/>
      <c r="E11" s="1"/>
    </row>
    <row r="12" spans="1:5" ht="12.75">
      <c r="A12" s="1" t="s">
        <v>11</v>
      </c>
      <c r="B12" s="4">
        <f>1/B11</f>
        <v>0.8909472522884107</v>
      </c>
      <c r="C12" s="1"/>
      <c r="D12" s="1"/>
      <c r="E12" s="1"/>
    </row>
    <row r="13" spans="1:5" ht="12.75">
      <c r="A13" s="1" t="s">
        <v>16</v>
      </c>
      <c r="B13" s="4">
        <f>(EXP(B4*B10)-B12)/(B11-B12)</f>
        <v>0.492821212771934</v>
      </c>
      <c r="C13" s="1"/>
      <c r="D13" s="1"/>
      <c r="E13" s="1"/>
    </row>
    <row r="14" spans="1:5" ht="12.75">
      <c r="A14" s="1" t="s">
        <v>17</v>
      </c>
      <c r="B14" s="4">
        <f>1-B13</f>
        <v>0.507178787228066</v>
      </c>
      <c r="C14" s="1"/>
      <c r="D14" s="1"/>
      <c r="E14" s="1"/>
    </row>
    <row r="15" spans="1:17" ht="12.75">
      <c r="A15" s="1"/>
      <c r="B15" s="6"/>
      <c r="C15" s="6"/>
      <c r="D15" s="6"/>
      <c r="E15" s="6"/>
      <c r="F15" s="6"/>
      <c r="G15" s="6"/>
      <c r="H15" s="6"/>
      <c r="I15" s="6"/>
      <c r="J15" s="1"/>
      <c r="K15" s="1"/>
      <c r="L15" s="1"/>
      <c r="M15" s="1"/>
      <c r="N15" s="1"/>
      <c r="O15" s="1"/>
      <c r="P15" s="1"/>
      <c r="Q15" s="3"/>
    </row>
    <row r="16" spans="1:17" ht="12.75">
      <c r="A16" s="1"/>
      <c r="B16" s="6">
        <v>0</v>
      </c>
      <c r="C16" s="6"/>
      <c r="D16" s="6"/>
      <c r="E16" s="6"/>
      <c r="F16" s="6"/>
      <c r="G16" s="6"/>
      <c r="H16" s="6"/>
      <c r="I16" s="6"/>
      <c r="J16" s="1"/>
      <c r="K16" s="1"/>
      <c r="L16" s="1"/>
      <c r="M16" s="1"/>
      <c r="N16" s="1"/>
      <c r="O16" s="1"/>
      <c r="P16" s="1"/>
      <c r="Q16" s="3"/>
    </row>
    <row r="17" spans="1:17" ht="12.75">
      <c r="A17" s="1"/>
      <c r="B17" s="3"/>
      <c r="C17" s="3"/>
      <c r="D17" s="3"/>
      <c r="E17" s="3"/>
      <c r="F17" s="3"/>
      <c r="G17" s="3">
        <f>F18*$B$11</f>
        <v>139.0308608414806</v>
      </c>
      <c r="H17" s="6"/>
      <c r="I17" s="6"/>
      <c r="J17" s="3"/>
      <c r="K17" s="3"/>
      <c r="L17" s="3"/>
      <c r="M17" s="3"/>
      <c r="N17" s="3"/>
      <c r="O17" s="3">
        <f>N18*$B$11</f>
        <v>139.0308608414806</v>
      </c>
      <c r="P17" s="3"/>
      <c r="Q17" s="3"/>
    </row>
    <row r="18" spans="1:17" ht="12.75">
      <c r="A18" s="1"/>
      <c r="B18" s="3"/>
      <c r="C18" s="3"/>
      <c r="D18" s="3"/>
      <c r="E18" s="3"/>
      <c r="F18" s="3">
        <f>E19*$B$11</f>
        <v>123.86916345000952</v>
      </c>
      <c r="G18" s="3">
        <f>F19*$B$11</f>
        <v>110.36089081905001</v>
      </c>
      <c r="H18" s="6"/>
      <c r="I18" s="6"/>
      <c r="J18" s="3"/>
      <c r="K18" s="3"/>
      <c r="L18" s="3"/>
      <c r="M18" s="3"/>
      <c r="N18" s="3">
        <f>F18</f>
        <v>123.86916345000952</v>
      </c>
      <c r="O18" s="3">
        <f>N19*$B$11</f>
        <v>110.36089081905001</v>
      </c>
      <c r="P18" s="3"/>
      <c r="Q18" s="3"/>
    </row>
    <row r="19" spans="1:17" ht="12.75">
      <c r="A19" s="1" t="s">
        <v>12</v>
      </c>
      <c r="B19" s="3"/>
      <c r="C19" s="3"/>
      <c r="D19" s="3"/>
      <c r="E19" s="3">
        <f>D20*$B$11</f>
        <v>110.36089081905001</v>
      </c>
      <c r="F19" s="3">
        <f>E20*$B$11</f>
        <v>98.32573243533389</v>
      </c>
      <c r="G19" s="3">
        <f>F20*$B$11</f>
        <v>87.60304114250619</v>
      </c>
      <c r="H19" s="6"/>
      <c r="I19" s="1" t="s">
        <v>13</v>
      </c>
      <c r="J19" s="3"/>
      <c r="K19" s="3"/>
      <c r="L19" s="3"/>
      <c r="M19" s="19">
        <f>E19</f>
        <v>110.36089081905001</v>
      </c>
      <c r="N19" s="3">
        <f>F19</f>
        <v>98.32573243533389</v>
      </c>
      <c r="O19" s="3">
        <f>N20*$B$11</f>
        <v>87.60304114250619</v>
      </c>
      <c r="P19" s="3"/>
      <c r="Q19" s="3"/>
    </row>
    <row r="20" spans="1:17" ht="12.75">
      <c r="A20" s="1"/>
      <c r="B20" s="3"/>
      <c r="C20" s="3"/>
      <c r="D20" s="3">
        <f>C21*$B$11</f>
        <v>98.32573243533389</v>
      </c>
      <c r="E20" s="3">
        <f>D21*$B$11</f>
        <v>87.60304114250619</v>
      </c>
      <c r="F20" s="3">
        <f>E21*$B$11</f>
        <v>78.04968879802448</v>
      </c>
      <c r="G20" s="3">
        <f>F21*$B$11</f>
        <v>69.53815577656545</v>
      </c>
      <c r="H20" s="6"/>
      <c r="I20" s="6"/>
      <c r="J20" s="3"/>
      <c r="K20" s="3"/>
      <c r="L20" s="3">
        <f>D20+L7</f>
        <v>102.31574492492373</v>
      </c>
      <c r="M20" s="19">
        <f>E20</f>
        <v>87.60304114250619</v>
      </c>
      <c r="N20" s="3">
        <f>F20</f>
        <v>78.04968879802448</v>
      </c>
      <c r="O20" s="3">
        <f>N21*$B$11</f>
        <v>69.53815577656545</v>
      </c>
      <c r="P20" s="3"/>
      <c r="Q20" s="3"/>
    </row>
    <row r="21" spans="1:17" ht="12.75">
      <c r="A21" s="1"/>
      <c r="B21" s="3"/>
      <c r="C21" s="3">
        <f>B22*$B$11</f>
        <v>87.60304114250619</v>
      </c>
      <c r="D21" s="3">
        <f>C22*$B$11</f>
        <v>78.04968879802448</v>
      </c>
      <c r="E21" s="3">
        <f>D22*$B$11</f>
        <v>69.53815577656545</v>
      </c>
      <c r="F21" s="3">
        <f>E22*$B$11</f>
        <v>61.954828818334455</v>
      </c>
      <c r="G21" s="3">
        <f>F22*$B$11</f>
        <v>55.19848450169392</v>
      </c>
      <c r="H21" s="6"/>
      <c r="I21" s="6"/>
      <c r="J21" s="3"/>
      <c r="K21" s="3">
        <f>C21+K7</f>
        <v>91.57315336178274</v>
      </c>
      <c r="L21" s="3">
        <f>D21+L7</f>
        <v>82.03970128761432</v>
      </c>
      <c r="M21" s="19">
        <f>E21</f>
        <v>69.53815577656545</v>
      </c>
      <c r="N21" s="3">
        <f>F21</f>
        <v>61.954828818334455</v>
      </c>
      <c r="O21" s="3">
        <f>N22*$B$11</f>
        <v>55.19848450169392</v>
      </c>
      <c r="P21" s="3"/>
      <c r="Q21" s="3"/>
    </row>
    <row r="22" spans="1:17" ht="12.75">
      <c r="A22" s="1"/>
      <c r="B22" s="3">
        <f>B2-J7</f>
        <v>78.04968879802448</v>
      </c>
      <c r="C22" s="3">
        <f>B22*$B$12</f>
        <v>69.53815577656545</v>
      </c>
      <c r="D22" s="3">
        <f>C22*$B$12</f>
        <v>61.954828818334455</v>
      </c>
      <c r="E22" s="3">
        <f>D22*$B$12</f>
        <v>55.198484501693926</v>
      </c>
      <c r="F22" s="3">
        <f>E22*$B$12</f>
        <v>49.17893809726862</v>
      </c>
      <c r="G22" s="3">
        <f>F22*$B$12</f>
        <v>43.81583976822331</v>
      </c>
      <c r="H22" s="6"/>
      <c r="I22" s="6"/>
      <c r="J22" s="3">
        <f>B22+J7</f>
        <v>82</v>
      </c>
      <c r="K22" s="3">
        <f>C22+K7</f>
        <v>73.508267995842</v>
      </c>
      <c r="L22" s="3">
        <f>D22+L7</f>
        <v>65.94484130792429</v>
      </c>
      <c r="M22" s="19">
        <f>E22</f>
        <v>55.198484501693926</v>
      </c>
      <c r="N22" s="3">
        <f>F22</f>
        <v>49.17893809726862</v>
      </c>
      <c r="O22" s="3">
        <f>N22*$B$12</f>
        <v>43.81583976822331</v>
      </c>
      <c r="P22" s="3"/>
      <c r="Q22" s="3"/>
    </row>
    <row r="23" spans="1:17" ht="12.75">
      <c r="A23" s="1"/>
      <c r="B23" s="7">
        <v>0</v>
      </c>
      <c r="C23" s="7">
        <f>B23+1</f>
        <v>1</v>
      </c>
      <c r="D23" s="7">
        <f>C23+1</f>
        <v>2</v>
      </c>
      <c r="E23" s="7">
        <f>D23+1</f>
        <v>3</v>
      </c>
      <c r="F23" s="7">
        <f>E23+1</f>
        <v>4</v>
      </c>
      <c r="G23" s="7">
        <f>F23+1</f>
        <v>5</v>
      </c>
      <c r="H23" s="8"/>
      <c r="I23" s="8"/>
      <c r="J23" s="7">
        <v>0</v>
      </c>
      <c r="K23" s="7">
        <f>J23+1</f>
        <v>1</v>
      </c>
      <c r="L23" s="7">
        <f>K23+1</f>
        <v>2</v>
      </c>
      <c r="M23" s="7">
        <f>L23+1</f>
        <v>3</v>
      </c>
      <c r="N23" s="7">
        <f>M23+1</f>
        <v>4</v>
      </c>
      <c r="O23" s="7">
        <f>N23+1</f>
        <v>5</v>
      </c>
      <c r="P23" s="1"/>
      <c r="Q23" s="1"/>
    </row>
    <row r="24" spans="1:17" ht="12.75">
      <c r="A24" s="1"/>
      <c r="B24" s="6"/>
      <c r="C24" s="6"/>
      <c r="D24" s="6"/>
      <c r="E24" s="6"/>
      <c r="F24" s="6"/>
      <c r="G24" s="6"/>
      <c r="H24" s="6"/>
      <c r="I24" s="6"/>
      <c r="J24" s="1"/>
      <c r="K24" s="1"/>
      <c r="L24" s="1"/>
      <c r="M24" s="1"/>
      <c r="N24" s="1"/>
      <c r="O24" s="1"/>
      <c r="P24" s="1"/>
      <c r="Q24" s="1"/>
    </row>
    <row r="25" spans="1:17" ht="12.75">
      <c r="A25" s="1"/>
      <c r="B25" s="6"/>
      <c r="C25" s="6"/>
      <c r="D25" s="6"/>
      <c r="E25" s="6"/>
      <c r="F25" s="6"/>
      <c r="G25" s="6"/>
      <c r="H25" s="6"/>
      <c r="I25" s="6"/>
      <c r="J25" s="1"/>
      <c r="K25" s="1"/>
      <c r="L25" s="1"/>
      <c r="M25" s="1"/>
      <c r="N25" s="1"/>
      <c r="O25" s="1"/>
      <c r="P25" s="1"/>
      <c r="Q25" s="1"/>
    </row>
    <row r="26" spans="1:17" ht="12.75">
      <c r="A26" s="1"/>
      <c r="B26" s="6"/>
      <c r="C26" s="6"/>
      <c r="D26" s="6"/>
      <c r="E26" s="6"/>
      <c r="F26" s="6"/>
      <c r="G26" s="6"/>
      <c r="H26" s="6"/>
      <c r="I26" s="6"/>
      <c r="J26" s="1"/>
      <c r="K26" s="3"/>
      <c r="L26" s="3"/>
      <c r="M26" s="3"/>
      <c r="N26" s="3"/>
      <c r="O26" s="3"/>
      <c r="P26" s="3"/>
      <c r="Q26" s="3"/>
    </row>
    <row r="27" spans="1:17" ht="12.75">
      <c r="A27" s="1"/>
      <c r="B27" s="6"/>
      <c r="C27" s="6"/>
      <c r="D27" s="6"/>
      <c r="E27" s="6"/>
      <c r="F27" s="6"/>
      <c r="G27" s="6"/>
      <c r="H27" s="6"/>
      <c r="I27" s="6"/>
      <c r="J27" s="1"/>
      <c r="K27" s="3"/>
      <c r="L27" s="3"/>
      <c r="M27" s="3"/>
      <c r="N27" s="3"/>
      <c r="O27" s="3"/>
      <c r="P27" s="3"/>
      <c r="Q27" s="3"/>
    </row>
    <row r="28" spans="1:17" ht="12.75">
      <c r="A28" s="1"/>
      <c r="B28" s="3"/>
      <c r="C28" s="3"/>
      <c r="D28" s="3"/>
      <c r="E28" s="3"/>
      <c r="F28" s="3"/>
      <c r="G28" s="3">
        <f aca="true" t="shared" si="0" ref="G28:G33">MAX($B$3-G17,0)</f>
        <v>0</v>
      </c>
      <c r="H28" s="6"/>
      <c r="I28" s="1"/>
      <c r="J28" s="3"/>
      <c r="K28" s="3"/>
      <c r="L28" s="3"/>
      <c r="M28" s="3"/>
      <c r="N28" s="3"/>
      <c r="O28" s="3">
        <f aca="true" t="shared" si="1" ref="O28:O33">MAX($B$3-O17,0)</f>
        <v>0</v>
      </c>
      <c r="P28" s="3"/>
      <c r="Q28" s="3"/>
    </row>
    <row r="29" spans="1:17" ht="12.75">
      <c r="A29" s="1"/>
      <c r="B29" s="3"/>
      <c r="C29" s="3"/>
      <c r="D29" s="3"/>
      <c r="E29" s="3"/>
      <c r="F29" s="3">
        <f>EXP(-$B$4*$B$10)*($B$13*G28+$B$14*G29)</f>
        <v>0</v>
      </c>
      <c r="G29" s="3">
        <f t="shared" si="0"/>
        <v>0</v>
      </c>
      <c r="H29" s="6"/>
      <c r="I29" s="1"/>
      <c r="J29" s="3"/>
      <c r="K29" s="3"/>
      <c r="L29" s="3"/>
      <c r="M29" s="3"/>
      <c r="N29" s="3">
        <f>MAX($B$3-N18,EXP(-$B$4*$B$10)*($B$13*O28+$B$14*O29))</f>
        <v>0</v>
      </c>
      <c r="O29" s="3">
        <f t="shared" si="1"/>
        <v>0</v>
      </c>
      <c r="P29" s="3"/>
      <c r="Q29" s="3"/>
    </row>
    <row r="30" spans="1:17" ht="12.75">
      <c r="A30" s="1"/>
      <c r="B30" s="3"/>
      <c r="C30" s="3"/>
      <c r="D30" s="3"/>
      <c r="E30" s="3">
        <f>EXP(-$B$4*$B$10)*($B$13*F29+$B$14*F30)</f>
        <v>0</v>
      </c>
      <c r="F30" s="3">
        <f>EXP(-$B$4*$B$10)*($B$13*G29+$B$14*G30)</f>
        <v>0</v>
      </c>
      <c r="G30" s="3">
        <f t="shared" si="0"/>
        <v>0</v>
      </c>
      <c r="H30" s="6"/>
      <c r="I30" s="1"/>
      <c r="J30" s="3"/>
      <c r="K30" s="3"/>
      <c r="L30" s="3"/>
      <c r="M30" s="3">
        <f>MAX($B$3-M19,EXP(-$B$4*$B$10)*($B$13*N29+$B$14*N30))</f>
        <v>0</v>
      </c>
      <c r="N30" s="3">
        <f>MAX($B$3-N19,EXP(-$B$4*$B$10)*($B$13*O29+$B$14*O30))</f>
        <v>0</v>
      </c>
      <c r="O30" s="3">
        <f t="shared" si="1"/>
        <v>0</v>
      </c>
      <c r="P30" s="3"/>
      <c r="Q30" s="3"/>
    </row>
    <row r="31" spans="2:17" ht="12.75">
      <c r="B31" s="3"/>
      <c r="C31" s="3"/>
      <c r="D31" s="3">
        <f>EXP(-$B$4*$B$10)*($B$13*E30+$B$14*E31)</f>
        <v>1.9871475648890313</v>
      </c>
      <c r="E31" s="3">
        <f>EXP(-$B$4*$B$10)*($B$13*F30+$B$14*F31)</f>
        <v>3.937680821439195</v>
      </c>
      <c r="F31" s="3">
        <f>EXP(-$B$4*$B$10)*($B$13*G30+$B$14*G31)</f>
        <v>7.802807665366272</v>
      </c>
      <c r="G31" s="3">
        <f t="shared" si="0"/>
        <v>15.461844223434554</v>
      </c>
      <c r="H31" s="6"/>
      <c r="J31" s="3"/>
      <c r="K31" s="3"/>
      <c r="L31" s="3">
        <f>MAX($B$3-L20,EXP(-$B$4*$B$10)*($B$13*M30+$B$14*M31))</f>
        <v>1.9871475648890313</v>
      </c>
      <c r="M31" s="3">
        <f>MAX($B$3-M20,EXP(-$B$4*$B$10)*($B$13*N30+$B$14*N31))</f>
        <v>3.937680821439195</v>
      </c>
      <c r="N31" s="3">
        <f>MAX($B$3-N20,EXP(-$B$4*$B$10)*($B$13*O30+$B$14*O31))</f>
        <v>7.802807665366272</v>
      </c>
      <c r="O31" s="3">
        <f t="shared" si="1"/>
        <v>15.461844223434554</v>
      </c>
      <c r="P31" s="3"/>
      <c r="Q31" s="3"/>
    </row>
    <row r="32" spans="2:17" ht="12.75">
      <c r="B32" s="3"/>
      <c r="C32" s="3">
        <f>EXP(-$B$4*$B$10)*($B$13*D31+$B$14*D32)</f>
        <v>5.830540517818674</v>
      </c>
      <c r="D32" s="3">
        <f>EXP(-$B$4*$B$10)*($B$13*E31+$B$14*E32)</f>
        <v>9.622756065122637</v>
      </c>
      <c r="E32" s="3">
        <f>EXP(-$B$4*$B$10)*($B$13*F31+$B$14*F32)</f>
        <v>15.24199727465605</v>
      </c>
      <c r="F32" s="3">
        <f>EXP(-$B$4*$B$10)*($B$13*G31+$B$14*G32)</f>
        <v>22.621231913043548</v>
      </c>
      <c r="G32" s="3">
        <f t="shared" si="0"/>
        <v>29.80151549830608</v>
      </c>
      <c r="H32" s="6"/>
      <c r="J32" s="3"/>
      <c r="K32" s="3">
        <f>MAX($B$3-K21,EXP(-$B$4*$B$10)*($B$13*L31+$B$14*L32))</f>
        <v>5.886529124439414</v>
      </c>
      <c r="L32" s="3">
        <f>MAX($B$3-L21,EXP(-$B$4*$B$10)*($B$13*M31+$B$14*M32))</f>
        <v>9.733701656886932</v>
      </c>
      <c r="M32" s="3">
        <f>MAX($B$3-M21,EXP(-$B$4*$B$10)*($B$13*N31+$B$14*N32))</f>
        <v>15.461844223434554</v>
      </c>
      <c r="N32" s="3">
        <f>MAX($B$3-N21,EXP(-$B$4*$B$10)*($B$13*O31+$B$14*O32))</f>
        <v>23.045171181665545</v>
      </c>
      <c r="O32" s="3">
        <f t="shared" si="1"/>
        <v>29.80151549830608</v>
      </c>
      <c r="P32" s="3"/>
      <c r="Q32" s="3"/>
    </row>
    <row r="33" spans="1:17" ht="12.75">
      <c r="A33" s="1" t="s">
        <v>29</v>
      </c>
      <c r="B33" s="3">
        <f>EXP(-$B$4*$B$10)*($B$13*C32+$B$14*C33)</f>
        <v>10.865160066998925</v>
      </c>
      <c r="C33" s="3">
        <f>EXP(-$B$4*$B$10)*($B$13*D32+$B$14*D33)</f>
        <v>15.864637997468149</v>
      </c>
      <c r="D33" s="3">
        <f>EXP(-$B$4*$B$10)*($B$13*E32+$B$14*E33)</f>
        <v>22.08661283599363</v>
      </c>
      <c r="E33" s="3">
        <f>EXP(-$B$4*$B$10)*($B$13*F32+$B$14*F33)</f>
        <v>28.955751366985375</v>
      </c>
      <c r="F33" s="3">
        <f>EXP(-$B$4*$B$10)*($B$13*G32+$B$14*G33)</f>
        <v>35.39712263410939</v>
      </c>
      <c r="G33" s="3">
        <f t="shared" si="0"/>
        <v>41.18416023177669</v>
      </c>
      <c r="H33" s="6"/>
      <c r="I33" s="1" t="s">
        <v>30</v>
      </c>
      <c r="J33" s="23">
        <f>MAX($B$3-J22,EXP(-$B$4*$B$10)*($B$13*K32+$B$14*K33))</f>
        <v>11.056221466188207</v>
      </c>
      <c r="K33" s="3">
        <f>MAX($B$3-K22,EXP(-$B$4*$B$10)*($B$13*L32+$B$14*L33))</f>
        <v>16.188836740717168</v>
      </c>
      <c r="L33" s="3">
        <f>MAX($B$3-L22,EXP(-$B$4*$B$10)*($B$13*M32+$B$14*M33))</f>
        <v>22.621231913043548</v>
      </c>
      <c r="M33" s="3">
        <f>MAX($B$3-M22,EXP(-$B$4*$B$10)*($B$13*N32+$B$14*N33))</f>
        <v>29.801515498306074</v>
      </c>
      <c r="N33" s="3">
        <f>MAX($B$3-N22,EXP(-$B$4*$B$10)*($B$13*O32+$B$14*O33))</f>
        <v>35.82106190273138</v>
      </c>
      <c r="O33" s="3">
        <f t="shared" si="1"/>
        <v>41.18416023177669</v>
      </c>
      <c r="P33" s="3"/>
      <c r="Q33" s="3"/>
    </row>
    <row r="34" spans="2:17" ht="12.75">
      <c r="B34" s="7">
        <v>0</v>
      </c>
      <c r="C34" s="7">
        <f>B34+1</f>
        <v>1</v>
      </c>
      <c r="D34" s="7">
        <f>C34+1</f>
        <v>2</v>
      </c>
      <c r="E34" s="7">
        <f>D34+1</f>
        <v>3</v>
      </c>
      <c r="F34" s="7">
        <f>E34+1</f>
        <v>4</v>
      </c>
      <c r="G34" s="7">
        <f>F34+1</f>
        <v>5</v>
      </c>
      <c r="H34" s="6"/>
      <c r="I34" s="6"/>
      <c r="J34" s="7">
        <v>0</v>
      </c>
      <c r="K34" s="7">
        <f>J34+1</f>
        <v>1</v>
      </c>
      <c r="L34" s="7">
        <f>K34+1</f>
        <v>2</v>
      </c>
      <c r="M34" s="7">
        <f>L34+1</f>
        <v>3</v>
      </c>
      <c r="N34" s="7">
        <f>M34+1</f>
        <v>4</v>
      </c>
      <c r="O34" s="7">
        <f>N34+1</f>
        <v>5</v>
      </c>
      <c r="P34" s="1"/>
      <c r="Q34" s="1"/>
    </row>
    <row r="35" spans="2:17" ht="12.75">
      <c r="B35" s="6"/>
      <c r="C35" s="6"/>
      <c r="D35" s="6"/>
      <c r="E35" s="6"/>
      <c r="F35" s="6"/>
      <c r="G35" s="6"/>
      <c r="H35" s="6"/>
      <c r="I35" s="6"/>
      <c r="J35" s="1"/>
      <c r="K35" s="1"/>
      <c r="L35" s="1"/>
      <c r="M35" s="1"/>
      <c r="N35" s="1"/>
      <c r="O35" s="1"/>
      <c r="P35" s="1"/>
      <c r="Q35" s="1"/>
    </row>
    <row r="37" spans="2:17" ht="12.75">
      <c r="B37" s="9"/>
      <c r="C37" s="9"/>
      <c r="D37" s="9"/>
      <c r="E37" s="9"/>
      <c r="F37" s="9"/>
      <c r="G37" s="9"/>
      <c r="H37" s="9"/>
      <c r="K37" s="3"/>
      <c r="L37" s="3"/>
      <c r="M37" s="3"/>
      <c r="N37" s="3"/>
      <c r="O37" s="3"/>
      <c r="P37" s="3"/>
      <c r="Q37" s="3"/>
    </row>
    <row r="38" spans="2:17" ht="12.75">
      <c r="B38" s="9"/>
      <c r="C38" s="9"/>
      <c r="D38" s="9"/>
      <c r="E38" s="9"/>
      <c r="F38" s="9"/>
      <c r="G38" s="9"/>
      <c r="H38" s="9"/>
      <c r="K38" s="3"/>
      <c r="L38" s="3"/>
      <c r="M38" s="3"/>
      <c r="N38" s="3"/>
      <c r="O38" s="3"/>
      <c r="P38" s="3"/>
      <c r="Q38" s="3"/>
    </row>
    <row r="39" spans="2:17" ht="12.75">
      <c r="B39" s="9"/>
      <c r="C39" s="9"/>
      <c r="D39" s="9"/>
      <c r="E39" s="9"/>
      <c r="F39" s="9"/>
      <c r="G39" s="9"/>
      <c r="H39" s="9"/>
      <c r="K39" s="3"/>
      <c r="L39" s="3"/>
      <c r="M39" s="3"/>
      <c r="N39" s="3"/>
      <c r="O39" s="3"/>
      <c r="P39" s="3"/>
      <c r="Q39" s="3"/>
    </row>
    <row r="40" spans="2:17" ht="12.75">
      <c r="B40" s="9"/>
      <c r="C40" s="9"/>
      <c r="D40" s="9"/>
      <c r="E40" s="9"/>
      <c r="F40" s="9"/>
      <c r="G40" s="9"/>
      <c r="H40" s="9"/>
      <c r="K40" s="3"/>
      <c r="L40" s="3"/>
      <c r="M40" s="3"/>
      <c r="N40" s="3"/>
      <c r="O40" s="3"/>
      <c r="P40" s="3"/>
      <c r="Q40" s="3"/>
    </row>
    <row r="41" spans="2:17" ht="12.75">
      <c r="B41" s="9"/>
      <c r="C41" s="9"/>
      <c r="D41" s="9"/>
      <c r="E41" s="9"/>
      <c r="F41" s="9"/>
      <c r="G41" s="9"/>
      <c r="H41" s="9"/>
      <c r="K41" s="3"/>
      <c r="L41" s="3"/>
      <c r="M41" s="3"/>
      <c r="N41" s="3"/>
      <c r="O41" s="3"/>
      <c r="P41" s="3"/>
      <c r="Q41" s="3"/>
    </row>
    <row r="42" spans="1:17" ht="12.75">
      <c r="A42" s="1"/>
      <c r="B42" s="9"/>
      <c r="C42" s="9"/>
      <c r="D42" s="9"/>
      <c r="E42" s="9"/>
      <c r="F42" s="9"/>
      <c r="G42" s="9"/>
      <c r="H42" s="9"/>
      <c r="J42" s="1"/>
      <c r="K42" s="3"/>
      <c r="L42" s="3"/>
      <c r="M42" s="3"/>
      <c r="N42" s="3"/>
      <c r="O42" s="3"/>
      <c r="P42" s="3"/>
      <c r="Q42" s="3"/>
    </row>
    <row r="43" spans="2:17" ht="12.75">
      <c r="B43" s="9"/>
      <c r="C43" s="9"/>
      <c r="D43" s="9"/>
      <c r="E43" s="9"/>
      <c r="F43" s="9"/>
      <c r="G43" s="9"/>
      <c r="H43" s="9"/>
      <c r="K43" s="3"/>
      <c r="L43" s="3"/>
      <c r="M43" s="3"/>
      <c r="N43" s="3"/>
      <c r="O43" s="3"/>
      <c r="P43" s="3"/>
      <c r="Q43" s="3"/>
    </row>
    <row r="44" spans="2:17" ht="12.75">
      <c r="B44" s="9"/>
      <c r="C44" s="9"/>
      <c r="D44" s="9"/>
      <c r="E44" s="9"/>
      <c r="F44" s="9"/>
      <c r="G44" s="9"/>
      <c r="H44" s="9"/>
      <c r="K44" s="3"/>
      <c r="L44" s="3"/>
      <c r="M44" s="3"/>
      <c r="N44" s="3"/>
      <c r="O44" s="3"/>
      <c r="P44" s="3"/>
      <c r="Q44" s="3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11"/>
  <dimension ref="A2:P45"/>
  <sheetViews>
    <sheetView zoomScale="122" zoomScaleNormal="122" workbookViewId="0" topLeftCell="A21">
      <selection activeCell="I41" sqref="I41"/>
    </sheetView>
  </sheetViews>
  <sheetFormatPr defaultColWidth="9.140625" defaultRowHeight="12.75"/>
  <cols>
    <col min="2" max="2" width="8.7109375" style="0" customWidth="1"/>
    <col min="3" max="3" width="7.8515625" style="0" customWidth="1"/>
    <col min="4" max="4" width="8.00390625" style="0" customWidth="1"/>
    <col min="5" max="5" width="8.8515625" style="0" customWidth="1"/>
    <col min="6" max="6" width="8.00390625" style="0" customWidth="1"/>
    <col min="7" max="7" width="6.7109375" style="0" customWidth="1"/>
    <col min="8" max="8" width="4.140625" style="0" customWidth="1"/>
    <col min="9" max="9" width="5.421875" style="0" customWidth="1"/>
    <col min="10" max="11" width="7.57421875" style="0" customWidth="1"/>
    <col min="12" max="12" width="7.7109375" style="0" customWidth="1"/>
    <col min="13" max="14" width="7.140625" style="0" customWidth="1"/>
    <col min="15" max="15" width="7.421875" style="0" customWidth="1"/>
    <col min="16" max="16" width="8.00390625" style="0" customWidth="1"/>
  </cols>
  <sheetData>
    <row r="2" spans="1:5" ht="12.75">
      <c r="A2" s="1" t="s">
        <v>1</v>
      </c>
      <c r="B2" s="1">
        <v>82</v>
      </c>
      <c r="C2" s="1"/>
      <c r="D2" s="1"/>
      <c r="E2" s="1"/>
    </row>
    <row r="3" spans="1:5" ht="12.75">
      <c r="A3" s="1" t="s">
        <v>2</v>
      </c>
      <c r="B3" s="1">
        <v>75</v>
      </c>
      <c r="C3" s="1"/>
      <c r="D3" s="1"/>
      <c r="E3" s="1"/>
    </row>
    <row r="4" spans="1:5" ht="12.75">
      <c r="A4" s="1" t="s">
        <v>4</v>
      </c>
      <c r="B4" s="1">
        <f>5/12</f>
        <v>0.4166666666666667</v>
      </c>
      <c r="C4" s="2"/>
      <c r="D4" s="1"/>
      <c r="E4" s="1"/>
    </row>
    <row r="5" spans="1:5" ht="12.75">
      <c r="A5" s="1" t="s">
        <v>3</v>
      </c>
      <c r="B5" s="2">
        <v>0.06</v>
      </c>
      <c r="C5" s="1"/>
      <c r="D5" s="1"/>
      <c r="E5" s="1"/>
    </row>
    <row r="6" spans="1:5" ht="12.75">
      <c r="A6" s="1" t="s">
        <v>5</v>
      </c>
      <c r="B6" s="2">
        <v>0.4</v>
      </c>
      <c r="C6" s="3"/>
      <c r="D6" s="1"/>
      <c r="E6" s="1"/>
    </row>
    <row r="7" spans="3:5" ht="12.75">
      <c r="C7" s="3"/>
      <c r="D7" s="1"/>
      <c r="E7" s="1"/>
    </row>
    <row r="8" spans="1:5" ht="12.75">
      <c r="A8" s="1" t="s">
        <v>8</v>
      </c>
      <c r="B8" s="1">
        <v>5</v>
      </c>
      <c r="C8" s="3"/>
      <c r="D8" s="1"/>
      <c r="E8" s="1"/>
    </row>
    <row r="9" spans="1:5" ht="12.75">
      <c r="A9" s="1" t="s">
        <v>9</v>
      </c>
      <c r="B9" s="5">
        <f>B4/B8</f>
        <v>0.08333333333333334</v>
      </c>
      <c r="C9" s="3"/>
      <c r="D9" s="1"/>
      <c r="E9" s="1"/>
    </row>
    <row r="10" spans="1:5" ht="12.75">
      <c r="A10" s="1" t="s">
        <v>10</v>
      </c>
      <c r="B10" s="4">
        <f>EXP(B6*(B9^0.5))</f>
        <v>1.1224009024456676</v>
      </c>
      <c r="C10" s="1"/>
      <c r="D10" s="1"/>
      <c r="E10" s="1"/>
    </row>
    <row r="11" spans="1:5" ht="12.75">
      <c r="A11" s="1" t="s">
        <v>11</v>
      </c>
      <c r="B11" s="4">
        <f>1/B10</f>
        <v>0.8909472522884107</v>
      </c>
      <c r="C11" s="1"/>
      <c r="D11" s="1"/>
      <c r="E11" s="1"/>
    </row>
    <row r="12" spans="1:5" ht="12.75">
      <c r="A12" s="1" t="s">
        <v>16</v>
      </c>
      <c r="B12" s="4">
        <f>(EXP(B5*B9)-B11)/(B10-B11)</f>
        <v>0.492821212771934</v>
      </c>
      <c r="C12" s="1"/>
      <c r="D12" s="1"/>
      <c r="E12" s="1"/>
    </row>
    <row r="13" spans="1:5" ht="12.75">
      <c r="A13" s="1" t="s">
        <v>17</v>
      </c>
      <c r="B13" s="4">
        <f>1-B12</f>
        <v>0.507178787228066</v>
      </c>
      <c r="C13" s="1"/>
      <c r="D13" s="1"/>
      <c r="E13" s="1"/>
    </row>
    <row r="14" spans="1:16" ht="12.75">
      <c r="A14" s="1"/>
      <c r="B14" s="1"/>
      <c r="C14" s="1"/>
      <c r="D14" s="1"/>
      <c r="E14" s="1"/>
      <c r="I14" s="1"/>
      <c r="J14" s="1"/>
      <c r="K14" s="1"/>
      <c r="L14" s="1"/>
      <c r="M14" s="1"/>
      <c r="N14" s="1"/>
      <c r="O14" s="1"/>
      <c r="P14" s="1"/>
    </row>
    <row r="15" spans="1:16" ht="12.75">
      <c r="A15" s="1"/>
      <c r="B15" s="6"/>
      <c r="C15" s="6"/>
      <c r="D15" s="6"/>
      <c r="E15" s="6"/>
      <c r="F15" s="6"/>
      <c r="G15" s="6"/>
      <c r="H15" s="6"/>
      <c r="I15" s="1"/>
      <c r="J15" s="1"/>
      <c r="K15" s="1"/>
      <c r="L15" s="1"/>
      <c r="M15" s="1"/>
      <c r="N15" s="1"/>
      <c r="O15" s="1"/>
      <c r="P15" s="3"/>
    </row>
    <row r="16" spans="1:16" ht="12.75">
      <c r="A16" s="1"/>
      <c r="B16" s="6"/>
      <c r="C16" s="6"/>
      <c r="D16" s="6"/>
      <c r="E16" s="6"/>
      <c r="F16" s="6"/>
      <c r="G16" s="6"/>
      <c r="H16" s="6"/>
      <c r="I16" s="1"/>
      <c r="J16" s="1"/>
      <c r="K16" s="1"/>
      <c r="L16" s="1"/>
      <c r="M16" s="1"/>
      <c r="N16" s="1"/>
      <c r="O16" s="1"/>
      <c r="P16" s="3"/>
    </row>
    <row r="17" spans="2:16" ht="12.75">
      <c r="B17" s="6"/>
      <c r="C17" s="6"/>
      <c r="D17" s="6"/>
      <c r="E17" s="6"/>
      <c r="F17" s="6"/>
      <c r="G17" s="6">
        <f aca="true" t="shared" si="0" ref="D17:G20">F18*$B$10</f>
        <v>146.06759827708586</v>
      </c>
      <c r="H17" s="6"/>
      <c r="I17" s="1"/>
      <c r="J17" s="1"/>
      <c r="K17" s="1"/>
      <c r="L17" s="3"/>
      <c r="M17" s="3"/>
      <c r="N17" s="3"/>
      <c r="O17" s="3"/>
      <c r="P17" s="3"/>
    </row>
    <row r="18" spans="2:16" ht="12.75">
      <c r="B18" s="6"/>
      <c r="C18" s="6"/>
      <c r="D18" s="6"/>
      <c r="E18" s="6"/>
      <c r="F18" s="6">
        <f t="shared" si="0"/>
        <v>130.13852533333704</v>
      </c>
      <c r="G18" s="6">
        <f t="shared" si="0"/>
        <v>115.94656156260235</v>
      </c>
      <c r="H18" s="6"/>
      <c r="I18" s="1"/>
      <c r="J18" s="1"/>
      <c r="K18" s="1"/>
      <c r="L18" s="3"/>
      <c r="M18" s="3"/>
      <c r="N18" s="3">
        <f>(G28-G29)/(G17-G18)</f>
        <v>1</v>
      </c>
      <c r="O18" s="3"/>
      <c r="P18" s="3"/>
    </row>
    <row r="19" spans="1:16" ht="12.75">
      <c r="A19" t="s">
        <v>20</v>
      </c>
      <c r="B19" s="6"/>
      <c r="C19" s="6"/>
      <c r="D19" s="6"/>
      <c r="E19" s="6">
        <f t="shared" si="0"/>
        <v>115.94656156260235</v>
      </c>
      <c r="F19" s="6">
        <f t="shared" si="0"/>
        <v>103.30227043648962</v>
      </c>
      <c r="G19" s="6">
        <f t="shared" si="0"/>
        <v>92.03687400054474</v>
      </c>
      <c r="H19" s="6"/>
      <c r="I19" s="1"/>
      <c r="J19" s="1"/>
      <c r="K19" s="1"/>
      <c r="L19" s="3"/>
      <c r="M19" s="3">
        <f>(F29-F30)/(F18-F19)</f>
        <v>0.9999999999999998</v>
      </c>
      <c r="N19" s="3">
        <f>(G29-G30)/(G18-G19)</f>
        <v>1</v>
      </c>
      <c r="O19" s="3"/>
      <c r="P19" s="3"/>
    </row>
    <row r="20" spans="2:16" ht="12.75">
      <c r="B20" s="6"/>
      <c r="C20" s="6"/>
      <c r="D20" s="6">
        <f t="shared" si="0"/>
        <v>103.30227043648962</v>
      </c>
      <c r="E20" s="6">
        <f t="shared" si="0"/>
        <v>92.03687400054474</v>
      </c>
      <c r="F20" s="6">
        <f t="shared" si="0"/>
        <v>82</v>
      </c>
      <c r="G20" s="6">
        <f t="shared" si="0"/>
        <v>73.05767468764968</v>
      </c>
      <c r="H20" s="6"/>
      <c r="I20" s="1"/>
      <c r="J20" s="1"/>
      <c r="K20" s="1"/>
      <c r="L20" s="3">
        <f>(E30-E31)/(E19-E20)</f>
        <v>0.9793115818355008</v>
      </c>
      <c r="M20" s="3">
        <f>(F30-F31)/(F19-F20)</f>
        <v>0.9539864559699871</v>
      </c>
      <c r="N20" s="3">
        <f>(G30-G31)/(G19-G20)</f>
        <v>0.8976603132551201</v>
      </c>
      <c r="O20" s="3"/>
      <c r="P20" s="3"/>
    </row>
    <row r="21" spans="2:16" ht="12.75">
      <c r="B21" s="6"/>
      <c r="C21" s="6">
        <f>B22*$B$10</f>
        <v>92.03687400054474</v>
      </c>
      <c r="D21" s="6">
        <f>C22*$B$10</f>
        <v>82</v>
      </c>
      <c r="E21" s="6">
        <f>D22*$B$10</f>
        <v>73.05767468764968</v>
      </c>
      <c r="F21" s="6">
        <f>E22*$B$10</f>
        <v>65.09053452154205</v>
      </c>
      <c r="G21" s="6">
        <f>F22*$B$10</f>
        <v>57.99223288195183</v>
      </c>
      <c r="H21" s="6"/>
      <c r="I21" s="1"/>
      <c r="J21" s="1"/>
      <c r="K21" s="3">
        <f>(D31-D32)/(D20-D21)</f>
        <v>0.8749484460822678</v>
      </c>
      <c r="L21" s="3">
        <f>(E31-E32)/(E20-E21)</f>
        <v>0.7471953463694202</v>
      </c>
      <c r="M21" s="3">
        <f>(F31-F32)/(F20-F21)</f>
        <v>0.49405801915267467</v>
      </c>
      <c r="N21" s="3">
        <f>(G31-G32)/(G20-G21)</f>
        <v>0</v>
      </c>
      <c r="O21" s="3"/>
      <c r="P21" s="3"/>
    </row>
    <row r="22" spans="2:16" ht="12.75">
      <c r="B22" s="6">
        <f>B2</f>
        <v>82</v>
      </c>
      <c r="C22" s="6">
        <f>B22*$B$11</f>
        <v>73.05767468764968</v>
      </c>
      <c r="D22" s="6">
        <f>C22*$B$11</f>
        <v>65.09053452154205</v>
      </c>
      <c r="E22" s="6">
        <f>D22*$B$11</f>
        <v>57.99223288195183</v>
      </c>
      <c r="F22" s="6">
        <f>E22*$B$11</f>
        <v>51.6680205402446</v>
      </c>
      <c r="G22" s="6">
        <f>F22*$B$11</f>
        <v>46.03348093151209</v>
      </c>
      <c r="H22" s="6"/>
      <c r="I22" s="6" t="s">
        <v>21</v>
      </c>
      <c r="J22" s="3">
        <f>(C32-C33)/(C21-C22)</f>
        <v>0.7214299711364105</v>
      </c>
      <c r="K22" s="3">
        <f>(D32-D33)/(D21-D22)</f>
        <v>0.5335047914647661</v>
      </c>
      <c r="L22" s="3">
        <f>(E32-E33)/(E21-E22)</f>
        <v>0.27192170878528277</v>
      </c>
      <c r="M22" s="3">
        <f>(F32-F33)/(F21-F22)</f>
        <v>0</v>
      </c>
      <c r="N22" s="3">
        <f>(G32-G33)/(G21-G22)</f>
        <v>0</v>
      </c>
      <c r="O22" s="3"/>
      <c r="P22" s="3"/>
    </row>
    <row r="23" spans="2:16" ht="12.75">
      <c r="B23" s="7">
        <v>0</v>
      </c>
      <c r="C23" s="7">
        <f>B23+1</f>
        <v>1</v>
      </c>
      <c r="D23" s="7">
        <f>C23+1</f>
        <v>2</v>
      </c>
      <c r="E23" s="7">
        <f>D23+1</f>
        <v>3</v>
      </c>
      <c r="F23" s="7">
        <f>E23+1</f>
        <v>4</v>
      </c>
      <c r="G23" s="7">
        <f>F23+1</f>
        <v>5</v>
      </c>
      <c r="H23" s="7"/>
      <c r="I23" s="1"/>
      <c r="J23" s="7">
        <v>0</v>
      </c>
      <c r="K23" s="7">
        <f>J23+1</f>
        <v>1</v>
      </c>
      <c r="L23" s="7">
        <f>K23+1</f>
        <v>2</v>
      </c>
      <c r="M23" s="7">
        <f>L23+1</f>
        <v>3</v>
      </c>
      <c r="N23" s="7">
        <f>M23+1</f>
        <v>4</v>
      </c>
      <c r="O23" s="7"/>
      <c r="P23" s="7"/>
    </row>
    <row r="24" spans="2:16" ht="12.75">
      <c r="B24" s="6"/>
      <c r="C24" s="6"/>
      <c r="D24" s="6"/>
      <c r="E24" s="6"/>
      <c r="F24" s="6"/>
      <c r="G24" s="6"/>
      <c r="H24" s="6"/>
      <c r="I24" s="1"/>
      <c r="J24" s="1"/>
      <c r="K24" s="1"/>
      <c r="L24" s="1"/>
      <c r="M24" s="1"/>
      <c r="N24" s="1"/>
      <c r="O24" s="1"/>
      <c r="P24" s="1"/>
    </row>
    <row r="25" spans="2:16" ht="12.75">
      <c r="B25" s="6"/>
      <c r="C25" s="6"/>
      <c r="D25" s="6"/>
      <c r="E25" s="6"/>
      <c r="F25" s="6"/>
      <c r="G25" s="6"/>
      <c r="H25" s="6"/>
      <c r="I25" s="1"/>
      <c r="J25" s="1"/>
      <c r="K25" s="1"/>
      <c r="L25" s="1"/>
      <c r="M25" s="1"/>
      <c r="N25" s="1"/>
      <c r="O25" s="1"/>
      <c r="P25" s="1"/>
    </row>
    <row r="26" spans="2:16" ht="12.75">
      <c r="B26" s="6"/>
      <c r="C26" s="6"/>
      <c r="D26" s="6"/>
      <c r="E26" s="6"/>
      <c r="F26" s="6"/>
      <c r="G26" s="6"/>
      <c r="H26" s="6"/>
      <c r="I26" s="1"/>
      <c r="J26" s="3"/>
      <c r="K26" s="3"/>
      <c r="L26" s="3"/>
      <c r="M26" s="3"/>
      <c r="N26" s="3"/>
      <c r="O26" s="3"/>
      <c r="P26" s="3"/>
    </row>
    <row r="27" spans="2:16" ht="12.75">
      <c r="B27" s="6"/>
      <c r="C27" s="6"/>
      <c r="D27" s="6"/>
      <c r="E27" s="6"/>
      <c r="F27" s="6"/>
      <c r="G27" s="6"/>
      <c r="H27" s="6"/>
      <c r="I27" s="1"/>
      <c r="J27" s="3"/>
      <c r="K27" s="3"/>
      <c r="L27" s="3"/>
      <c r="M27" s="3"/>
      <c r="N27" s="3"/>
      <c r="O27" s="3"/>
      <c r="P27" s="3"/>
    </row>
    <row r="28" spans="2:16" ht="12.75">
      <c r="B28" s="28"/>
      <c r="C28" s="22"/>
      <c r="D28" s="22"/>
      <c r="E28" s="22"/>
      <c r="F28" s="22"/>
      <c r="G28" s="6">
        <f>MAX(G17-$B$3,0)</f>
        <v>71.06759827708586</v>
      </c>
      <c r="H28" s="6"/>
      <c r="I28" s="1"/>
      <c r="J28" s="3"/>
      <c r="K28" s="3"/>
      <c r="L28" s="3"/>
      <c r="M28" s="3"/>
      <c r="N28" s="3"/>
      <c r="O28" s="3"/>
      <c r="P28" s="3"/>
    </row>
    <row r="29" spans="2:16" ht="12.75">
      <c r="B29" s="28"/>
      <c r="C29" s="22"/>
      <c r="D29" s="22"/>
      <c r="E29" s="22"/>
      <c r="F29" s="22">
        <f>EXP(-$B$5*$B$9)*($B$12*G28+$B$13*G29)</f>
        <v>55.51258939388585</v>
      </c>
      <c r="G29" s="6">
        <f>MAX(G18-$B$3,0)</f>
        <v>40.946561562602355</v>
      </c>
      <c r="H29" s="6"/>
      <c r="I29" s="1"/>
      <c r="J29" s="3"/>
      <c r="K29" s="3"/>
      <c r="L29" s="3"/>
      <c r="M29" s="3"/>
      <c r="N29" s="3">
        <f>EXP(-$B$5*$B$9)*(G29*G17-G28*G18)/(G17-G18)</f>
        <v>-74.6259359394512</v>
      </c>
      <c r="O29" s="3"/>
      <c r="P29" s="3"/>
    </row>
    <row r="30" spans="2:16" ht="12.75">
      <c r="B30" s="28"/>
      <c r="C30" s="22"/>
      <c r="D30" s="22"/>
      <c r="E30" s="22">
        <f aca="true" t="shared" si="1" ref="B30:E33">EXP(-$B$5*$B$9)*($B$12*F29+$B$13*F30)</f>
        <v>41.69282403141472</v>
      </c>
      <c r="F30" s="22">
        <f>EXP(-$B$5*$B$9)*($B$12*G29+$B$13*G30)</f>
        <v>28.676334497038432</v>
      </c>
      <c r="G30" s="6">
        <f>MAX(G19-$B$3,0)</f>
        <v>17.036874000544742</v>
      </c>
      <c r="H30" s="6"/>
      <c r="I30" s="1"/>
      <c r="J30" s="3"/>
      <c r="K30" s="3"/>
      <c r="L30" s="3"/>
      <c r="M30" s="3">
        <f>EXP(-$B$5*$B$9)*(F30*F18-F29*F19)/(F18-F19)</f>
        <v>-74.2537375311876</v>
      </c>
      <c r="N30" s="3">
        <f>EXP(-$B$5*$B$9)*(G30*G18-G29*G19)/(G18-G19)</f>
        <v>-74.62593593945118</v>
      </c>
      <c r="O30" s="3"/>
      <c r="P30" s="3"/>
    </row>
    <row r="31" spans="2:16" ht="12.75">
      <c r="B31" s="28"/>
      <c r="C31" s="22"/>
      <c r="D31" s="22">
        <f t="shared" si="1"/>
        <v>29.66850152819416</v>
      </c>
      <c r="E31" s="22">
        <f t="shared" si="1"/>
        <v>18.277790083823483</v>
      </c>
      <c r="F31" s="22">
        <f>EXP(-$B$5*$B$9)*($B$12*G30+$B$13*G31)</f>
        <v>8.354257019217467</v>
      </c>
      <c r="G31" s="6">
        <f>MAX(G20-$B$3,0)</f>
        <v>0</v>
      </c>
      <c r="H31" s="6"/>
      <c r="I31" s="1"/>
      <c r="J31" s="3"/>
      <c r="K31" s="3"/>
      <c r="L31" s="3">
        <f>EXP(-$B$5*$B$9)*(E31*E19-E30*E20)/(E19-E20)</f>
        <v>-71.49660834016318</v>
      </c>
      <c r="M31" s="3">
        <f>EXP(-$B$5*$B$9)*(F31*F19-F30*F20)/(F19-F20)</f>
        <v>-69.52414116251244</v>
      </c>
      <c r="N31" s="3">
        <f>EXP(-$B$5*$B$9)*(G31*G19-G30*G20)/(G19-G20)</f>
        <v>-65.25388866770238</v>
      </c>
      <c r="O31" s="3"/>
      <c r="P31" s="3"/>
    </row>
    <row r="32" spans="2:16" ht="12.75">
      <c r="B32" s="28"/>
      <c r="C32" s="22">
        <f t="shared" si="1"/>
        <v>20.114681036985054</v>
      </c>
      <c r="D32" s="22">
        <f t="shared" si="1"/>
        <v>11.030113111763331</v>
      </c>
      <c r="E32" s="22">
        <f t="shared" si="1"/>
        <v>4.096620679410596</v>
      </c>
      <c r="F32" s="22">
        <f>EXP(-$B$5*$B$9)*($B$12*G31+$B$13*G32)</f>
        <v>0</v>
      </c>
      <c r="G32" s="6">
        <f>MAX(G21-$B$3,0)</f>
        <v>0</v>
      </c>
      <c r="H32" s="6"/>
      <c r="J32" s="3"/>
      <c r="K32" s="3">
        <f>EXP(-$B$5*$B$9)*(D32*D20-D31*D21)/(D20-D21)</f>
        <v>-60.41283885206105</v>
      </c>
      <c r="L32" s="3">
        <f>EXP(-$B$5*$B$9)*(E32*E20-E31*E21)/(E20-E21)</f>
        <v>-50.239905290529116</v>
      </c>
      <c r="M32" s="3">
        <f>EXP(-$B$5*$B$9)*(F32*F20-F31*F21)/(F20-F21)</f>
        <v>-31.998109360670103</v>
      </c>
      <c r="N32" s="3">
        <f>EXP(-$B$5*$B$9)*(G32*G20-G31*G21)/(G20-G21)</f>
        <v>0</v>
      </c>
      <c r="O32" s="3"/>
      <c r="P32" s="3"/>
    </row>
    <row r="33" spans="1:16" ht="12.75">
      <c r="A33" t="s">
        <v>22</v>
      </c>
      <c r="B33" s="22">
        <f t="shared" si="1"/>
        <v>13.104619127611912</v>
      </c>
      <c r="C33" s="22">
        <f t="shared" si="1"/>
        <v>6.422517824490987</v>
      </c>
      <c r="D33" s="22">
        <f t="shared" si="1"/>
        <v>2.008832257897963</v>
      </c>
      <c r="E33" s="22">
        <f t="shared" si="1"/>
        <v>0</v>
      </c>
      <c r="F33" s="22">
        <f>EXP(-$B$5*$B$9)*($B$12*G32+$B$13*G33)</f>
        <v>0</v>
      </c>
      <c r="G33" s="6">
        <f>MAX(G22-$B$3,0)</f>
        <v>0</v>
      </c>
      <c r="H33" s="6"/>
      <c r="I33" t="s">
        <v>23</v>
      </c>
      <c r="J33" s="3">
        <f>EXP(-$B$5*$B$9)*(C33*C21-C32*C22)/(C21-C22)</f>
        <v>-46.052638505573746</v>
      </c>
      <c r="K33" s="3">
        <f>EXP(-$B$5*$B$9)*(D33*D21-D32*D22)/(D21-D22)</f>
        <v>-32.55410167464428</v>
      </c>
      <c r="L33" s="3">
        <f>EXP(-$B$5*$B$9)*(E33*E21-E32*E22)/(E21-E22)</f>
        <v>-15.69069711494719</v>
      </c>
      <c r="M33" s="3">
        <f>EXP(-$B$5*$B$9)*(F33*F21-F32*F22)/(F21-F22)</f>
        <v>0</v>
      </c>
      <c r="N33" s="3">
        <f>EXP(-$B$5*$B$9)*(G33*G21-G32*G22)/(G21-G22)</f>
        <v>0</v>
      </c>
      <c r="O33" s="3"/>
      <c r="P33" s="3"/>
    </row>
    <row r="34" spans="2:16" ht="12.75">
      <c r="B34" s="7">
        <v>0</v>
      </c>
      <c r="C34" s="7">
        <f>B34+1</f>
        <v>1</v>
      </c>
      <c r="D34" s="7">
        <f>C34+1</f>
        <v>2</v>
      </c>
      <c r="E34" s="7">
        <f>D34+1</f>
        <v>3</v>
      </c>
      <c r="F34" s="7">
        <f>E34+1</f>
        <v>4</v>
      </c>
      <c r="G34" s="7">
        <f>F34+1</f>
        <v>5</v>
      </c>
      <c r="H34" s="6"/>
      <c r="I34" s="1"/>
      <c r="J34" s="7">
        <v>0</v>
      </c>
      <c r="K34" s="7">
        <f>J34+1</f>
        <v>1</v>
      </c>
      <c r="L34" s="7">
        <f>K34+1</f>
        <v>2</v>
      </c>
      <c r="M34" s="7">
        <f>L34+1</f>
        <v>3</v>
      </c>
      <c r="N34" s="7">
        <f>M34+1</f>
        <v>4</v>
      </c>
      <c r="O34" s="7"/>
      <c r="P34" s="7"/>
    </row>
    <row r="35" spans="2:16" ht="12.75">
      <c r="B35" s="6"/>
      <c r="C35" s="6"/>
      <c r="D35" s="6"/>
      <c r="E35" s="6"/>
      <c r="F35" s="6"/>
      <c r="G35" s="6"/>
      <c r="H35" s="6"/>
      <c r="I35" s="1"/>
      <c r="J35" s="1"/>
      <c r="K35" s="1"/>
      <c r="L35" s="1"/>
      <c r="M35" s="1"/>
      <c r="N35" s="1"/>
      <c r="O35" s="1"/>
      <c r="P35" s="1"/>
    </row>
    <row r="37" spans="2:16" ht="12.75">
      <c r="B37" s="9"/>
      <c r="C37" s="9"/>
      <c r="D37" s="9"/>
      <c r="E37" s="9"/>
      <c r="F37" s="9"/>
      <c r="G37" s="9"/>
      <c r="H37" s="9"/>
      <c r="J37" s="3"/>
      <c r="K37" s="3"/>
      <c r="L37" s="3"/>
      <c r="M37" s="3"/>
      <c r="N37" s="3"/>
      <c r="O37" s="3"/>
      <c r="P37" s="3"/>
    </row>
    <row r="38" spans="2:16" ht="12.75">
      <c r="B38" s="9"/>
      <c r="C38" s="9"/>
      <c r="D38" s="9"/>
      <c r="E38" s="9"/>
      <c r="F38" s="9"/>
      <c r="G38" s="9"/>
      <c r="H38" s="9"/>
      <c r="J38" s="3"/>
      <c r="K38" s="3"/>
      <c r="L38" s="3"/>
      <c r="M38" s="3"/>
      <c r="N38" s="3"/>
      <c r="O38" s="3"/>
      <c r="P38" s="3"/>
    </row>
    <row r="39" spans="2:16" ht="12.75">
      <c r="B39" s="9"/>
      <c r="C39" s="9"/>
      <c r="D39" s="9"/>
      <c r="E39" s="9"/>
      <c r="F39" s="9"/>
      <c r="G39" s="9"/>
      <c r="H39" s="9"/>
      <c r="J39" s="3"/>
      <c r="K39" s="3"/>
      <c r="L39" s="3"/>
      <c r="M39" s="3"/>
      <c r="N39" s="3"/>
      <c r="O39" s="3"/>
      <c r="P39" s="3"/>
    </row>
    <row r="40" spans="2:16" ht="12.75">
      <c r="B40" s="11"/>
      <c r="C40" s="11"/>
      <c r="D40" s="11"/>
      <c r="E40" s="11"/>
      <c r="F40" s="11">
        <f>N18*F18+N29</f>
        <v>55.51258939388585</v>
      </c>
      <c r="G40" s="9"/>
      <c r="H40" s="9"/>
      <c r="J40" s="3"/>
      <c r="K40" s="3"/>
      <c r="L40" s="3"/>
      <c r="M40" s="3"/>
      <c r="N40" s="3"/>
      <c r="O40" s="3"/>
      <c r="P40" s="3"/>
    </row>
    <row r="41" spans="2:16" ht="12.75">
      <c r="B41" s="11"/>
      <c r="C41" s="11"/>
      <c r="D41" s="11"/>
      <c r="E41" s="11">
        <f>M19*E19+M30</f>
        <v>41.69282403141473</v>
      </c>
      <c r="F41" s="11">
        <f>N19*F19+N30</f>
        <v>28.67633449703844</v>
      </c>
      <c r="G41" s="9"/>
      <c r="H41" s="9"/>
      <c r="J41" s="3"/>
      <c r="K41" s="3"/>
      <c r="L41" s="3"/>
      <c r="M41" s="3"/>
      <c r="N41" s="3"/>
      <c r="O41" s="3"/>
      <c r="P41" s="3"/>
    </row>
    <row r="42" spans="1:16" ht="12.75">
      <c r="A42" s="27" t="s">
        <v>24</v>
      </c>
      <c r="B42" s="11"/>
      <c r="C42" s="11"/>
      <c r="D42" s="11">
        <f>L20*D20+L31</f>
        <v>29.66850152819417</v>
      </c>
      <c r="E42" s="11">
        <f>M20*E20+M31</f>
        <v>18.27779008382349</v>
      </c>
      <c r="F42" s="11">
        <f>N20*F20+N31</f>
        <v>8.354257019217457</v>
      </c>
      <c r="G42" s="9"/>
      <c r="H42" s="9"/>
      <c r="I42" s="1"/>
      <c r="J42" s="3"/>
      <c r="K42" s="3"/>
      <c r="L42" s="3"/>
      <c r="M42" s="3"/>
      <c r="N42" s="3"/>
      <c r="O42" s="3"/>
      <c r="P42" s="3"/>
    </row>
    <row r="43" spans="2:16" ht="12.75">
      <c r="B43" s="11"/>
      <c r="C43" s="11">
        <f>K21*C21+K32</f>
        <v>20.114681036985054</v>
      </c>
      <c r="D43" s="11">
        <f>L21*D21+L32</f>
        <v>11.030113111763342</v>
      </c>
      <c r="E43" s="11">
        <f>M21*E21+M32</f>
        <v>4.096620679410595</v>
      </c>
      <c r="F43" s="11">
        <f>N21*F21+N32</f>
        <v>0</v>
      </c>
      <c r="G43" s="9"/>
      <c r="H43" s="9"/>
      <c r="J43" s="3"/>
      <c r="K43" s="3"/>
      <c r="L43" s="3"/>
      <c r="M43" s="3"/>
      <c r="N43" s="3"/>
      <c r="O43" s="3"/>
      <c r="P43" s="3"/>
    </row>
    <row r="44" spans="2:16" ht="12.75">
      <c r="B44" s="11">
        <f>J22*B22+J33</f>
        <v>13.104619127611912</v>
      </c>
      <c r="C44" s="11">
        <f>K22*C22+K33</f>
        <v>6.422517824490988</v>
      </c>
      <c r="D44" s="11">
        <f>L22*D22+L33</f>
        <v>2.0088322578979625</v>
      </c>
      <c r="E44" s="11">
        <f>M22*E22+M33</f>
        <v>0</v>
      </c>
      <c r="F44" s="11">
        <f>N22*F22+N33</f>
        <v>0</v>
      </c>
      <c r="G44" s="9"/>
      <c r="H44" s="9"/>
      <c r="J44" s="3"/>
      <c r="K44" s="3"/>
      <c r="L44" s="3"/>
      <c r="M44" s="3"/>
      <c r="N44" s="3"/>
      <c r="O44" s="3"/>
      <c r="P44" s="3"/>
    </row>
    <row r="45" spans="2:16" ht="12.75">
      <c r="B45" s="7">
        <v>0</v>
      </c>
      <c r="C45" s="7">
        <f>B45+1</f>
        <v>1</v>
      </c>
      <c r="D45" s="7">
        <f>C45+1</f>
        <v>2</v>
      </c>
      <c r="E45" s="7">
        <f>D45+1</f>
        <v>3</v>
      </c>
      <c r="F45" s="7">
        <f>E45+1</f>
        <v>4</v>
      </c>
      <c r="G45" s="7"/>
      <c r="H45" s="7"/>
      <c r="J45" s="7"/>
      <c r="K45" s="7"/>
      <c r="L45" s="7"/>
      <c r="M45" s="7"/>
      <c r="N45" s="7"/>
      <c r="O45" s="7"/>
      <c r="P45" s="7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15"/>
  <dimension ref="A1:P60"/>
  <sheetViews>
    <sheetView tabSelected="1" zoomScale="122" zoomScaleNormal="122" workbookViewId="0" topLeftCell="A1">
      <selection activeCell="H7" sqref="H7"/>
    </sheetView>
  </sheetViews>
  <sheetFormatPr defaultColWidth="9.140625" defaultRowHeight="12.75"/>
  <cols>
    <col min="1" max="1" width="7.28125" style="0" customWidth="1"/>
    <col min="2" max="2" width="8.28125" style="0" customWidth="1"/>
    <col min="3" max="3" width="7.8515625" style="0" customWidth="1"/>
    <col min="4" max="4" width="6.57421875" style="0" customWidth="1"/>
    <col min="5" max="5" width="7.421875" style="0" customWidth="1"/>
    <col min="6" max="7" width="8.00390625" style="0" customWidth="1"/>
    <col min="8" max="8" width="4.140625" style="0" customWidth="1"/>
    <col min="9" max="9" width="5.421875" style="0" customWidth="1"/>
    <col min="10" max="11" width="7.57421875" style="0" customWidth="1"/>
    <col min="12" max="12" width="7.7109375" style="0" customWidth="1"/>
    <col min="13" max="14" width="7.140625" style="0" customWidth="1"/>
    <col min="15" max="15" width="7.421875" style="0" customWidth="1"/>
    <col min="16" max="16" width="8.00390625" style="0" customWidth="1"/>
  </cols>
  <sheetData>
    <row r="1" spans="4:7" ht="12.75">
      <c r="D1" t="s">
        <v>33</v>
      </c>
      <c r="E1" s="8" t="s">
        <v>31</v>
      </c>
      <c r="F1" s="8" t="s">
        <v>34</v>
      </c>
      <c r="G1" s="6" t="s">
        <v>32</v>
      </c>
    </row>
    <row r="2" spans="1:7" ht="12.75">
      <c r="A2" s="1" t="s">
        <v>1</v>
      </c>
      <c r="B2" s="1">
        <v>82</v>
      </c>
      <c r="C2" s="1"/>
      <c r="D2" s="6">
        <v>0</v>
      </c>
      <c r="E2" s="3"/>
      <c r="F2" s="6">
        <f>B2</f>
        <v>82</v>
      </c>
      <c r="G2" s="6">
        <f>B2</f>
        <v>82</v>
      </c>
    </row>
    <row r="3" spans="1:7" ht="12.75">
      <c r="A3" s="1" t="s">
        <v>2</v>
      </c>
      <c r="B3" s="1">
        <v>75</v>
      </c>
      <c r="C3" s="1"/>
      <c r="D3" s="13">
        <f>D2+$B$9</f>
        <v>0.019230769230769232</v>
      </c>
      <c r="E3" s="3">
        <f ca="1">RAND()</f>
        <v>0.8719201091745363</v>
      </c>
      <c r="F3" s="6">
        <f>IF(E3&lt;=$B$12,F2*$B$10,F2*$B$11)</f>
        <v>77.57531164323872</v>
      </c>
      <c r="G3" s="6">
        <f>G2*$B$10^IF(E3&lt;=$B$12,1,-1)</f>
        <v>77.57531164323872</v>
      </c>
    </row>
    <row r="4" spans="1:7" ht="12.75">
      <c r="A4" s="1" t="s">
        <v>4</v>
      </c>
      <c r="B4" s="1">
        <v>1</v>
      </c>
      <c r="C4" s="2"/>
      <c r="D4" s="13">
        <f aca="true" t="shared" si="0" ref="D4:D25">D3+$B$9</f>
        <v>0.038461538461538464</v>
      </c>
      <c r="E4" s="3">
        <f aca="true" ca="1" t="shared" si="1" ref="E4:E54">RAND()</f>
        <v>0.9942173650332473</v>
      </c>
      <c r="F4" s="6">
        <f aca="true" t="shared" si="2" ref="F4:F25">IF(E4&lt;=$B$12,F3*$B$10,F3*$B$11)</f>
        <v>73.38937776275132</v>
      </c>
      <c r="G4" s="6">
        <f aca="true" t="shared" si="3" ref="G4:G25">G3*$B$10^IF(E4&lt;=$B$12,1,-1)</f>
        <v>73.38937776275132</v>
      </c>
    </row>
    <row r="5" spans="1:7" ht="12.75">
      <c r="A5" s="1" t="s">
        <v>3</v>
      </c>
      <c r="B5" s="2">
        <v>0.06</v>
      </c>
      <c r="C5" s="1"/>
      <c r="D5" s="13">
        <f t="shared" si="0"/>
        <v>0.057692307692307696</v>
      </c>
      <c r="E5" s="3">
        <f ca="1" t="shared" si="1"/>
        <v>0.520761518890529</v>
      </c>
      <c r="F5" s="6">
        <f t="shared" si="2"/>
        <v>69.4293152591318</v>
      </c>
      <c r="G5" s="6">
        <f t="shared" si="3"/>
        <v>69.4293152591318</v>
      </c>
    </row>
    <row r="6" spans="1:7" ht="12.75">
      <c r="A6" s="1" t="s">
        <v>5</v>
      </c>
      <c r="B6" s="2">
        <v>0.4</v>
      </c>
      <c r="C6" s="3"/>
      <c r="D6" s="13">
        <f t="shared" si="0"/>
        <v>0.07692307692307693</v>
      </c>
      <c r="E6" s="3">
        <f ca="1" t="shared" si="1"/>
        <v>0.6599590756175511</v>
      </c>
      <c r="F6" s="6">
        <f t="shared" si="2"/>
        <v>65.68293620004657</v>
      </c>
      <c r="G6" s="6">
        <f t="shared" si="3"/>
        <v>65.68293620004657</v>
      </c>
    </row>
    <row r="7" spans="3:7" ht="12.75">
      <c r="C7" s="3"/>
      <c r="D7" s="13">
        <f t="shared" si="0"/>
        <v>0.09615384615384616</v>
      </c>
      <c r="E7" s="3">
        <f ca="1" t="shared" si="1"/>
        <v>0.4704393801109461</v>
      </c>
      <c r="F7" s="6">
        <f t="shared" si="2"/>
        <v>69.4293152591318</v>
      </c>
      <c r="G7" s="6">
        <f t="shared" si="3"/>
        <v>69.4293152591318</v>
      </c>
    </row>
    <row r="8" spans="1:7" ht="12.75">
      <c r="A8" s="1" t="s">
        <v>8</v>
      </c>
      <c r="B8" s="1">
        <v>52</v>
      </c>
      <c r="C8" s="3"/>
      <c r="D8" s="13">
        <f t="shared" si="0"/>
        <v>0.11538461538461539</v>
      </c>
      <c r="E8" s="3">
        <f ca="1" t="shared" si="1"/>
        <v>0.6722462767473758</v>
      </c>
      <c r="F8" s="6">
        <f t="shared" si="2"/>
        <v>65.68293620004657</v>
      </c>
      <c r="G8" s="6">
        <f t="shared" si="3"/>
        <v>65.68293620004657</v>
      </c>
    </row>
    <row r="9" spans="1:7" ht="12.75">
      <c r="A9" s="1" t="s">
        <v>9</v>
      </c>
      <c r="B9" s="5">
        <f>B4/B8</f>
        <v>0.019230769230769232</v>
      </c>
      <c r="C9" s="3"/>
      <c r="D9" s="13">
        <f t="shared" si="0"/>
        <v>0.13461538461538464</v>
      </c>
      <c r="E9" s="3">
        <f ca="1" t="shared" si="1"/>
        <v>0.5581378100670102</v>
      </c>
      <c r="F9" s="6">
        <f t="shared" si="2"/>
        <v>62.13871030928754</v>
      </c>
      <c r="G9" s="6">
        <f t="shared" si="3"/>
        <v>62.13871030928754</v>
      </c>
    </row>
    <row r="10" spans="1:7" ht="12.75">
      <c r="A10" s="1" t="s">
        <v>10</v>
      </c>
      <c r="B10" s="4">
        <f>EXP(B6*(B9^0.5))</f>
        <v>1.057037326219326</v>
      </c>
      <c r="C10" s="1"/>
      <c r="D10" s="13">
        <f t="shared" si="0"/>
        <v>0.15384615384615385</v>
      </c>
      <c r="E10" s="3">
        <f ca="1" t="shared" si="1"/>
        <v>0.32203532325800666</v>
      </c>
      <c r="F10" s="6">
        <f t="shared" si="2"/>
        <v>65.68293620004657</v>
      </c>
      <c r="G10" s="6">
        <f t="shared" si="3"/>
        <v>65.68293620004657</v>
      </c>
    </row>
    <row r="11" spans="1:7" ht="12.75">
      <c r="A11" s="1" t="s">
        <v>11</v>
      </c>
      <c r="B11" s="4">
        <f>1/B10</f>
        <v>0.9460403858931551</v>
      </c>
      <c r="C11" s="1"/>
      <c r="D11" s="13">
        <f t="shared" si="0"/>
        <v>0.17307692307692307</v>
      </c>
      <c r="E11" s="3">
        <f ca="1" t="shared" si="1"/>
        <v>0.9768967729975655</v>
      </c>
      <c r="F11" s="6">
        <f t="shared" si="2"/>
        <v>62.13871030928754</v>
      </c>
      <c r="G11" s="6">
        <f t="shared" si="3"/>
        <v>62.13871030928754</v>
      </c>
    </row>
    <row r="12" spans="1:7" ht="12.75">
      <c r="A12" s="1" t="s">
        <v>16</v>
      </c>
      <c r="B12" s="4">
        <f>(EXP(B5*B9)-B11)/(B10-B11)</f>
        <v>0.4965373463026391</v>
      </c>
      <c r="C12" s="1"/>
      <c r="D12" s="13">
        <f t="shared" si="0"/>
        <v>0.1923076923076923</v>
      </c>
      <c r="E12" s="3">
        <f ca="1" t="shared" si="1"/>
        <v>0.3831008122081361</v>
      </c>
      <c r="F12" s="6">
        <f t="shared" si="2"/>
        <v>65.68293620004657</v>
      </c>
      <c r="G12" s="6">
        <f t="shared" si="3"/>
        <v>65.68293620004657</v>
      </c>
    </row>
    <row r="13" spans="1:7" ht="12.75">
      <c r="A13" s="1" t="s">
        <v>17</v>
      </c>
      <c r="B13" s="4">
        <f>1-B12</f>
        <v>0.5034626536973609</v>
      </c>
      <c r="C13" s="1"/>
      <c r="D13" s="13">
        <f t="shared" si="0"/>
        <v>0.2115384615384615</v>
      </c>
      <c r="E13" s="3">
        <f ca="1" t="shared" si="1"/>
        <v>0.45340126757276256</v>
      </c>
      <c r="F13" s="6">
        <f t="shared" si="2"/>
        <v>69.4293152591318</v>
      </c>
      <c r="G13" s="6">
        <f t="shared" si="3"/>
        <v>69.4293152591318</v>
      </c>
    </row>
    <row r="14" spans="1:16" ht="12.75">
      <c r="A14" s="1"/>
      <c r="B14" s="1"/>
      <c r="C14" s="1"/>
      <c r="D14" s="13">
        <f t="shared" si="0"/>
        <v>0.23076923076923073</v>
      </c>
      <c r="E14" s="3">
        <f ca="1" t="shared" si="1"/>
        <v>0.069540739842612</v>
      </c>
      <c r="F14" s="6">
        <f t="shared" si="2"/>
        <v>73.38937776275132</v>
      </c>
      <c r="G14" s="6">
        <f t="shared" si="3"/>
        <v>73.38937776275132</v>
      </c>
      <c r="I14" s="1"/>
      <c r="J14" s="1"/>
      <c r="K14" s="1"/>
      <c r="L14" s="1"/>
      <c r="M14" s="1"/>
      <c r="N14" s="1"/>
      <c r="O14" s="1"/>
      <c r="P14" s="1"/>
    </row>
    <row r="15" spans="4:16" ht="12.75">
      <c r="D15" s="13">
        <f t="shared" si="0"/>
        <v>0.24999999999999994</v>
      </c>
      <c r="E15" s="3">
        <f ca="1" t="shared" si="1"/>
        <v>0.8842818598014681</v>
      </c>
      <c r="F15" s="6">
        <f t="shared" si="2"/>
        <v>69.4293152591318</v>
      </c>
      <c r="G15" s="6">
        <f t="shared" si="3"/>
        <v>69.4293152591318</v>
      </c>
      <c r="H15" s="6"/>
      <c r="I15" s="1"/>
      <c r="J15" s="1"/>
      <c r="K15" s="1"/>
      <c r="L15" s="1"/>
      <c r="M15" s="1"/>
      <c r="N15" s="1"/>
      <c r="O15" s="1"/>
      <c r="P15" s="3"/>
    </row>
    <row r="16" spans="4:16" ht="12.75">
      <c r="D16" s="13">
        <f t="shared" si="0"/>
        <v>0.26923076923076916</v>
      </c>
      <c r="E16" s="3">
        <f ca="1" t="shared" si="1"/>
        <v>0.27370644707140945</v>
      </c>
      <c r="F16" s="6">
        <f t="shared" si="2"/>
        <v>73.38937776275132</v>
      </c>
      <c r="G16" s="6">
        <f t="shared" si="3"/>
        <v>73.38937776275132</v>
      </c>
      <c r="H16" s="6"/>
      <c r="I16" s="1"/>
      <c r="J16" s="1"/>
      <c r="K16" s="1"/>
      <c r="L16" s="1"/>
      <c r="M16" s="1"/>
      <c r="N16" s="1"/>
      <c r="O16" s="1"/>
      <c r="P16" s="3"/>
    </row>
    <row r="17" spans="4:16" ht="12.75">
      <c r="D17" s="13">
        <f t="shared" si="0"/>
        <v>0.2884615384615384</v>
      </c>
      <c r="E17" s="3">
        <f ca="1" t="shared" si="1"/>
        <v>0.1496985581547703</v>
      </c>
      <c r="F17" s="6">
        <f t="shared" si="2"/>
        <v>77.57531164323872</v>
      </c>
      <c r="G17" s="6">
        <f t="shared" si="3"/>
        <v>77.57531164323872</v>
      </c>
      <c r="H17" s="6"/>
      <c r="I17" s="1"/>
      <c r="J17" s="1"/>
      <c r="K17" s="1"/>
      <c r="L17" s="3"/>
      <c r="M17" s="3"/>
      <c r="N17" s="3"/>
      <c r="O17" s="3"/>
      <c r="P17" s="3"/>
    </row>
    <row r="18" spans="1:16" ht="12.75">
      <c r="A18" s="9"/>
      <c r="B18" s="3"/>
      <c r="C18" s="6"/>
      <c r="D18" s="13">
        <f t="shared" si="0"/>
        <v>0.3076923076923076</v>
      </c>
      <c r="E18" s="3">
        <f ca="1" t="shared" si="1"/>
        <v>0.847661147886706</v>
      </c>
      <c r="F18" s="6">
        <f t="shared" si="2"/>
        <v>73.38937776275132</v>
      </c>
      <c r="G18" s="6">
        <f t="shared" si="3"/>
        <v>73.38937776275132</v>
      </c>
      <c r="H18" s="6"/>
      <c r="I18" s="1"/>
      <c r="J18" s="1"/>
      <c r="K18" s="1"/>
      <c r="L18" s="3"/>
      <c r="M18" s="3"/>
      <c r="N18" s="3"/>
      <c r="O18" s="3"/>
      <c r="P18" s="3"/>
    </row>
    <row r="19" spans="1:16" ht="12.75">
      <c r="A19" s="9"/>
      <c r="B19" s="3"/>
      <c r="C19" s="6"/>
      <c r="D19" s="13">
        <f t="shared" si="0"/>
        <v>0.3269230769230768</v>
      </c>
      <c r="E19" s="3">
        <f ca="1" t="shared" si="1"/>
        <v>0.31918870258669085</v>
      </c>
      <c r="F19" s="6">
        <f t="shared" si="2"/>
        <v>77.57531164323872</v>
      </c>
      <c r="G19" s="6">
        <f t="shared" si="3"/>
        <v>77.57531164323872</v>
      </c>
      <c r="H19" s="6"/>
      <c r="I19" s="1"/>
      <c r="J19" s="1"/>
      <c r="K19" s="1"/>
      <c r="L19" s="3"/>
      <c r="M19" s="3"/>
      <c r="N19" s="3"/>
      <c r="O19" s="3"/>
      <c r="P19" s="3"/>
    </row>
    <row r="20" spans="2:16" ht="12.75">
      <c r="B20" s="6"/>
      <c r="C20" s="6"/>
      <c r="D20" s="13">
        <f t="shared" si="0"/>
        <v>0.34615384615384603</v>
      </c>
      <c r="E20" s="3">
        <f ca="1" t="shared" si="1"/>
        <v>0.9224030315994964</v>
      </c>
      <c r="F20" s="6">
        <f t="shared" si="2"/>
        <v>73.38937776275132</v>
      </c>
      <c r="G20" s="6">
        <f t="shared" si="3"/>
        <v>73.38937776275132</v>
      </c>
      <c r="H20" s="6"/>
      <c r="I20" s="1"/>
      <c r="J20" s="1"/>
      <c r="K20" s="1"/>
      <c r="L20" s="3"/>
      <c r="M20" s="3"/>
      <c r="N20" s="3"/>
      <c r="O20" s="3"/>
      <c r="P20" s="3"/>
    </row>
    <row r="21" spans="2:16" ht="12.75">
      <c r="B21" s="6"/>
      <c r="C21" s="6"/>
      <c r="D21" s="13">
        <f t="shared" si="0"/>
        <v>0.36538461538461525</v>
      </c>
      <c r="E21" s="3">
        <f ca="1" t="shared" si="1"/>
        <v>0.9003274640846133</v>
      </c>
      <c r="F21" s="6">
        <f t="shared" si="2"/>
        <v>69.4293152591318</v>
      </c>
      <c r="G21" s="6">
        <f t="shared" si="3"/>
        <v>69.4293152591318</v>
      </c>
      <c r="H21" s="6"/>
      <c r="I21" s="1"/>
      <c r="J21" s="1"/>
      <c r="K21" s="3"/>
      <c r="L21" s="3"/>
      <c r="M21" s="3"/>
      <c r="N21" s="3"/>
      <c r="O21" s="3"/>
      <c r="P21" s="3"/>
    </row>
    <row r="22" spans="2:16" ht="12.75">
      <c r="B22" s="6"/>
      <c r="C22" s="6"/>
      <c r="D22" s="13">
        <f t="shared" si="0"/>
        <v>0.38461538461538447</v>
      </c>
      <c r="E22" s="3">
        <f ca="1" t="shared" si="1"/>
        <v>0.48165246468431366</v>
      </c>
      <c r="F22" s="6">
        <f t="shared" si="2"/>
        <v>73.38937776275132</v>
      </c>
      <c r="G22" s="6">
        <f t="shared" si="3"/>
        <v>73.38937776275132</v>
      </c>
      <c r="H22" s="6"/>
      <c r="I22" s="6"/>
      <c r="J22" s="3"/>
      <c r="K22" s="3"/>
      <c r="L22" s="3"/>
      <c r="M22" s="3"/>
      <c r="N22" s="3"/>
      <c r="O22" s="3"/>
      <c r="P22" s="3"/>
    </row>
    <row r="23" spans="2:16" ht="12.75">
      <c r="B23" s="7"/>
      <c r="C23" s="7"/>
      <c r="D23" s="13">
        <f t="shared" si="0"/>
        <v>0.4038461538461537</v>
      </c>
      <c r="E23" s="3">
        <f ca="1" t="shared" si="1"/>
        <v>0.06888915146566532</v>
      </c>
      <c r="F23" s="6">
        <f t="shared" si="2"/>
        <v>77.57531164323872</v>
      </c>
      <c r="G23" s="6">
        <f t="shared" si="3"/>
        <v>77.57531164323872</v>
      </c>
      <c r="H23" s="7"/>
      <c r="I23" s="1"/>
      <c r="J23" s="7"/>
      <c r="K23" s="7"/>
      <c r="L23" s="7"/>
      <c r="M23" s="7"/>
      <c r="N23" s="7"/>
      <c r="O23" s="7"/>
      <c r="P23" s="7"/>
    </row>
    <row r="24" spans="2:16" ht="12.75">
      <c r="B24" s="6"/>
      <c r="C24" s="6"/>
      <c r="D24" s="13">
        <f t="shared" si="0"/>
        <v>0.4230769230769229</v>
      </c>
      <c r="E24" s="3">
        <f ca="1" t="shared" si="1"/>
        <v>0.7279711518519232</v>
      </c>
      <c r="F24" s="6">
        <f t="shared" si="2"/>
        <v>73.38937776275132</v>
      </c>
      <c r="G24" s="6">
        <f t="shared" si="3"/>
        <v>73.38937776275132</v>
      </c>
      <c r="H24" s="6"/>
      <c r="I24" s="1"/>
      <c r="J24" s="1"/>
      <c r="K24" s="1"/>
      <c r="L24" s="1"/>
      <c r="M24" s="1"/>
      <c r="N24" s="1"/>
      <c r="O24" s="1"/>
      <c r="P24" s="1"/>
    </row>
    <row r="25" spans="2:16" ht="12.75">
      <c r="B25" s="6"/>
      <c r="C25" s="6"/>
      <c r="D25" s="13">
        <f t="shared" si="0"/>
        <v>0.4423076923076921</v>
      </c>
      <c r="E25" s="3">
        <f ca="1" t="shared" si="1"/>
        <v>0.17116747601271354</v>
      </c>
      <c r="F25" s="6">
        <f t="shared" si="2"/>
        <v>77.57531164323872</v>
      </c>
      <c r="G25" s="6">
        <f t="shared" si="3"/>
        <v>77.57531164323872</v>
      </c>
      <c r="H25" s="6"/>
      <c r="I25" s="1"/>
      <c r="J25" s="1"/>
      <c r="K25" s="1"/>
      <c r="L25" s="1"/>
      <c r="M25" s="1"/>
      <c r="N25" s="1"/>
      <c r="O25" s="1"/>
      <c r="P25" s="1"/>
    </row>
    <row r="26" spans="2:16" ht="12.75">
      <c r="B26" s="6"/>
      <c r="C26" s="6"/>
      <c r="D26" s="13">
        <f aca="true" t="shared" si="4" ref="D26:D54">D25+$B$9</f>
        <v>0.46153846153846134</v>
      </c>
      <c r="E26" s="3">
        <f ca="1" t="shared" si="1"/>
        <v>0.7161869252198505</v>
      </c>
      <c r="F26" s="6">
        <f aca="true" t="shared" si="5" ref="F26:F54">IF(E26&lt;=$B$12,F25*$B$10,F25*$B$11)</f>
        <v>73.38937776275132</v>
      </c>
      <c r="G26" s="6">
        <f aca="true" t="shared" si="6" ref="G26:G54">G25*$B$10^IF(E26&lt;=$B$12,1,-1)</f>
        <v>73.38937776275132</v>
      </c>
      <c r="H26" s="6"/>
      <c r="I26" s="1"/>
      <c r="J26" s="3"/>
      <c r="K26" s="3"/>
      <c r="L26" s="3"/>
      <c r="M26" s="3"/>
      <c r="N26" s="3"/>
      <c r="O26" s="3"/>
      <c r="P26" s="3"/>
    </row>
    <row r="27" spans="2:16" ht="12.75">
      <c r="B27" s="6"/>
      <c r="C27" s="6"/>
      <c r="D27" s="13">
        <f t="shared" si="4"/>
        <v>0.48076923076923056</v>
      </c>
      <c r="E27" s="3">
        <f ca="1" t="shared" si="1"/>
        <v>0.2657141099658258</v>
      </c>
      <c r="F27" s="6">
        <f t="shared" si="5"/>
        <v>77.57531164323872</v>
      </c>
      <c r="G27" s="6">
        <f t="shared" si="6"/>
        <v>77.57531164323872</v>
      </c>
      <c r="H27" s="6"/>
      <c r="I27" s="1"/>
      <c r="J27" s="3"/>
      <c r="K27" s="3"/>
      <c r="L27" s="3"/>
      <c r="M27" s="3"/>
      <c r="N27" s="3"/>
      <c r="O27" s="3"/>
      <c r="P27" s="3"/>
    </row>
    <row r="28" spans="2:16" ht="12.75">
      <c r="B28" s="28"/>
      <c r="C28" s="22"/>
      <c r="D28" s="13">
        <f t="shared" si="4"/>
        <v>0.4999999999999998</v>
      </c>
      <c r="E28" s="3">
        <f ca="1" t="shared" si="1"/>
        <v>0.8352370322287266</v>
      </c>
      <c r="F28" s="6">
        <f t="shared" si="5"/>
        <v>73.38937776275132</v>
      </c>
      <c r="G28" s="6">
        <f t="shared" si="6"/>
        <v>73.38937776275132</v>
      </c>
      <c r="H28" s="6"/>
      <c r="I28" s="1"/>
      <c r="J28" s="3"/>
      <c r="K28" s="3"/>
      <c r="L28" s="3"/>
      <c r="M28" s="3"/>
      <c r="N28" s="3"/>
      <c r="O28" s="3"/>
      <c r="P28" s="3"/>
    </row>
    <row r="29" spans="2:16" ht="12.75">
      <c r="B29" s="28"/>
      <c r="C29" s="22"/>
      <c r="D29" s="13">
        <f t="shared" si="4"/>
        <v>0.519230769230769</v>
      </c>
      <c r="E29" s="3">
        <f ca="1" t="shared" si="1"/>
        <v>0.3517887394160013</v>
      </c>
      <c r="F29" s="6">
        <f t="shared" si="5"/>
        <v>77.57531164323872</v>
      </c>
      <c r="G29" s="6">
        <f t="shared" si="6"/>
        <v>77.57531164323872</v>
      </c>
      <c r="H29" s="6"/>
      <c r="I29" s="1"/>
      <c r="J29" s="3"/>
      <c r="K29" s="3"/>
      <c r="L29" s="3"/>
      <c r="M29" s="3"/>
      <c r="N29" s="3"/>
      <c r="O29" s="3"/>
      <c r="P29" s="3"/>
    </row>
    <row r="30" spans="2:16" ht="12.75">
      <c r="B30" s="28"/>
      <c r="C30" s="22"/>
      <c r="D30" s="13">
        <f t="shared" si="4"/>
        <v>0.5384615384615383</v>
      </c>
      <c r="E30" s="3">
        <f ca="1" t="shared" si="1"/>
        <v>0.44048361384066514</v>
      </c>
      <c r="F30" s="6">
        <f t="shared" si="5"/>
        <v>82</v>
      </c>
      <c r="G30" s="6">
        <f t="shared" si="6"/>
        <v>82</v>
      </c>
      <c r="H30" s="6"/>
      <c r="I30" s="1"/>
      <c r="J30" s="3"/>
      <c r="K30" s="3"/>
      <c r="L30" s="3"/>
      <c r="M30" s="3"/>
      <c r="N30" s="3"/>
      <c r="O30" s="3"/>
      <c r="P30" s="3"/>
    </row>
    <row r="31" spans="2:16" ht="12.75">
      <c r="B31" s="28"/>
      <c r="C31" s="22"/>
      <c r="D31" s="13">
        <f t="shared" si="4"/>
        <v>0.5576923076923076</v>
      </c>
      <c r="E31" s="3">
        <f ca="1" t="shared" si="1"/>
        <v>0.6670541177987024</v>
      </c>
      <c r="F31" s="6">
        <f t="shared" si="5"/>
        <v>77.57531164323872</v>
      </c>
      <c r="G31" s="6">
        <f t="shared" si="6"/>
        <v>77.57531164323872</v>
      </c>
      <c r="H31" s="6"/>
      <c r="I31" s="1"/>
      <c r="J31" s="3"/>
      <c r="K31" s="3"/>
      <c r="L31" s="3"/>
      <c r="M31" s="3"/>
      <c r="N31" s="3"/>
      <c r="O31" s="3"/>
      <c r="P31" s="3"/>
    </row>
    <row r="32" spans="2:16" ht="12.75">
      <c r="B32" s="28"/>
      <c r="C32" s="22"/>
      <c r="D32" s="13">
        <f t="shared" si="4"/>
        <v>0.5769230769230769</v>
      </c>
      <c r="E32" s="3">
        <f ca="1" t="shared" si="1"/>
        <v>0.18893197099477277</v>
      </c>
      <c r="F32" s="6">
        <f t="shared" si="5"/>
        <v>82</v>
      </c>
      <c r="G32" s="6">
        <f t="shared" si="6"/>
        <v>82</v>
      </c>
      <c r="H32" s="6"/>
      <c r="J32" s="3"/>
      <c r="K32" s="3"/>
      <c r="L32" s="3"/>
      <c r="M32" s="3"/>
      <c r="N32" s="3"/>
      <c r="O32" s="3"/>
      <c r="P32" s="3"/>
    </row>
    <row r="33" spans="2:16" ht="12.75">
      <c r="B33" s="22"/>
      <c r="C33" s="22"/>
      <c r="D33" s="13">
        <f t="shared" si="4"/>
        <v>0.5961538461538461</v>
      </c>
      <c r="E33" s="3">
        <f ca="1" t="shared" si="1"/>
        <v>0.8112068450085159</v>
      </c>
      <c r="F33" s="6">
        <f t="shared" si="5"/>
        <v>77.57531164323872</v>
      </c>
      <c r="G33" s="6">
        <f t="shared" si="6"/>
        <v>77.57531164323872</v>
      </c>
      <c r="H33" s="6"/>
      <c r="J33" s="3"/>
      <c r="K33" s="3"/>
      <c r="L33" s="3"/>
      <c r="M33" s="3"/>
      <c r="N33" s="3"/>
      <c r="O33" s="3"/>
      <c r="P33" s="3"/>
    </row>
    <row r="34" spans="2:16" ht="12.75">
      <c r="B34" s="7"/>
      <c r="C34" s="7"/>
      <c r="D34" s="13">
        <f t="shared" si="4"/>
        <v>0.6153846153846154</v>
      </c>
      <c r="E34" s="3">
        <f ca="1" t="shared" si="1"/>
        <v>0.26055177208196234</v>
      </c>
      <c r="F34" s="6">
        <f t="shared" si="5"/>
        <v>82</v>
      </c>
      <c r="G34" s="6">
        <f t="shared" si="6"/>
        <v>82</v>
      </c>
      <c r="H34" s="6"/>
      <c r="I34" s="1"/>
      <c r="J34" s="7"/>
      <c r="K34" s="7"/>
      <c r="L34" s="7"/>
      <c r="M34" s="7"/>
      <c r="N34" s="7"/>
      <c r="O34" s="7"/>
      <c r="P34" s="7"/>
    </row>
    <row r="35" spans="2:16" ht="12.75">
      <c r="B35" s="6"/>
      <c r="C35" s="6"/>
      <c r="D35" s="13">
        <f t="shared" si="4"/>
        <v>0.6346153846153847</v>
      </c>
      <c r="E35" s="3">
        <f ca="1" t="shared" si="1"/>
        <v>0.9212109097913315</v>
      </c>
      <c r="F35" s="6">
        <f t="shared" si="5"/>
        <v>77.57531164323872</v>
      </c>
      <c r="G35" s="6">
        <f t="shared" si="6"/>
        <v>77.57531164323872</v>
      </c>
      <c r="H35" s="6"/>
      <c r="I35" s="1"/>
      <c r="J35" s="1"/>
      <c r="K35" s="1"/>
      <c r="L35" s="1"/>
      <c r="M35" s="1"/>
      <c r="N35" s="1"/>
      <c r="O35" s="1"/>
      <c r="P35" s="1"/>
    </row>
    <row r="36" spans="4:7" ht="12.75">
      <c r="D36" s="13">
        <f t="shared" si="4"/>
        <v>0.653846153846154</v>
      </c>
      <c r="E36" s="3">
        <f ca="1" t="shared" si="1"/>
        <v>0.24907669606405514</v>
      </c>
      <c r="F36" s="6">
        <f t="shared" si="5"/>
        <v>82</v>
      </c>
      <c r="G36" s="6">
        <f t="shared" si="6"/>
        <v>82</v>
      </c>
    </row>
    <row r="37" spans="2:16" ht="12.75">
      <c r="B37" s="9"/>
      <c r="C37" s="9"/>
      <c r="D37" s="13">
        <f t="shared" si="4"/>
        <v>0.6730769230769232</v>
      </c>
      <c r="E37" s="3">
        <f ca="1" t="shared" si="1"/>
        <v>0.6155151938291241</v>
      </c>
      <c r="F37" s="6">
        <f t="shared" si="5"/>
        <v>77.57531164323872</v>
      </c>
      <c r="G37" s="6">
        <f t="shared" si="6"/>
        <v>77.57531164323872</v>
      </c>
      <c r="H37" s="9"/>
      <c r="J37" s="3"/>
      <c r="K37" s="3"/>
      <c r="L37" s="3"/>
      <c r="M37" s="3"/>
      <c r="N37" s="3"/>
      <c r="O37" s="3"/>
      <c r="P37" s="3"/>
    </row>
    <row r="38" spans="2:16" ht="12.75">
      <c r="B38" s="9"/>
      <c r="C38" s="9"/>
      <c r="D38" s="13">
        <f t="shared" si="4"/>
        <v>0.6923076923076925</v>
      </c>
      <c r="E38" s="3">
        <f ca="1" t="shared" si="1"/>
        <v>0.0029734628376605343</v>
      </c>
      <c r="F38" s="6">
        <f t="shared" si="5"/>
        <v>82</v>
      </c>
      <c r="G38" s="6">
        <f t="shared" si="6"/>
        <v>82</v>
      </c>
      <c r="H38" s="9"/>
      <c r="J38" s="3"/>
      <c r="K38" s="3"/>
      <c r="L38" s="3"/>
      <c r="M38" s="3"/>
      <c r="N38" s="3"/>
      <c r="O38" s="3"/>
      <c r="P38" s="3"/>
    </row>
    <row r="39" spans="2:16" ht="12.75">
      <c r="B39" s="9"/>
      <c r="C39" s="9"/>
      <c r="D39" s="13">
        <f t="shared" si="4"/>
        <v>0.7115384615384618</v>
      </c>
      <c r="E39" s="3">
        <f ca="1" t="shared" si="1"/>
        <v>0.36467063515138176</v>
      </c>
      <c r="F39" s="6">
        <f t="shared" si="5"/>
        <v>86.67706074998473</v>
      </c>
      <c r="G39" s="6">
        <f t="shared" si="6"/>
        <v>86.67706074998473</v>
      </c>
      <c r="H39" s="9"/>
      <c r="J39" s="3"/>
      <c r="K39" s="3"/>
      <c r="L39" s="3"/>
      <c r="M39" s="3"/>
      <c r="N39" s="3"/>
      <c r="O39" s="3"/>
      <c r="P39" s="3"/>
    </row>
    <row r="40" spans="2:16" ht="12.75">
      <c r="B40" s="11"/>
      <c r="C40" s="11"/>
      <c r="D40" s="13">
        <f t="shared" si="4"/>
        <v>0.7307692307692311</v>
      </c>
      <c r="E40" s="3">
        <f ca="1" t="shared" si="1"/>
        <v>0.5335298178865058</v>
      </c>
      <c r="F40" s="6">
        <f t="shared" si="5"/>
        <v>82</v>
      </c>
      <c r="G40" s="6">
        <f t="shared" si="6"/>
        <v>82</v>
      </c>
      <c r="H40" s="9"/>
      <c r="J40" s="3"/>
      <c r="K40" s="3"/>
      <c r="L40" s="3"/>
      <c r="M40" s="3"/>
      <c r="N40" s="3"/>
      <c r="O40" s="3"/>
      <c r="P40" s="3"/>
    </row>
    <row r="41" spans="2:16" ht="12.75">
      <c r="B41" s="11"/>
      <c r="C41" s="11"/>
      <c r="D41" s="13">
        <f t="shared" si="4"/>
        <v>0.7500000000000003</v>
      </c>
      <c r="E41" s="3">
        <f ca="1" t="shared" si="1"/>
        <v>0.7499496171713196</v>
      </c>
      <c r="F41" s="6">
        <f t="shared" si="5"/>
        <v>77.57531164323872</v>
      </c>
      <c r="G41" s="6">
        <f t="shared" si="6"/>
        <v>77.57531164323872</v>
      </c>
      <c r="H41" s="9"/>
      <c r="J41" s="3"/>
      <c r="K41" s="3"/>
      <c r="L41" s="3"/>
      <c r="M41" s="3"/>
      <c r="N41" s="3"/>
      <c r="O41" s="3"/>
      <c r="P41" s="3"/>
    </row>
    <row r="42" spans="1:16" ht="12.75">
      <c r="A42" s="27"/>
      <c r="B42" s="11"/>
      <c r="C42" s="11"/>
      <c r="D42" s="13">
        <f t="shared" si="4"/>
        <v>0.7692307692307696</v>
      </c>
      <c r="E42" s="3">
        <f ca="1" t="shared" si="1"/>
        <v>0.7501332608045945</v>
      </c>
      <c r="F42" s="6">
        <f t="shared" si="5"/>
        <v>73.38937776275132</v>
      </c>
      <c r="G42" s="6">
        <f t="shared" si="6"/>
        <v>73.38937776275132</v>
      </c>
      <c r="H42" s="9"/>
      <c r="I42" s="1"/>
      <c r="J42" s="3"/>
      <c r="K42" s="3"/>
      <c r="L42" s="3"/>
      <c r="M42" s="3"/>
      <c r="N42" s="3"/>
      <c r="O42" s="3"/>
      <c r="P42" s="3"/>
    </row>
    <row r="43" spans="2:16" ht="12.75">
      <c r="B43" s="11"/>
      <c r="C43" s="11"/>
      <c r="D43" s="13">
        <f t="shared" si="4"/>
        <v>0.7884615384615389</v>
      </c>
      <c r="E43" s="3">
        <f ca="1" t="shared" si="1"/>
        <v>0.7981772741111319</v>
      </c>
      <c r="F43" s="6">
        <f t="shared" si="5"/>
        <v>69.4293152591318</v>
      </c>
      <c r="G43" s="6">
        <f t="shared" si="6"/>
        <v>69.4293152591318</v>
      </c>
      <c r="H43" s="9"/>
      <c r="J43" s="3"/>
      <c r="K43" s="3"/>
      <c r="L43" s="3"/>
      <c r="M43" s="3"/>
      <c r="N43" s="3"/>
      <c r="O43" s="3"/>
      <c r="P43" s="3"/>
    </row>
    <row r="44" spans="2:16" ht="12.75">
      <c r="B44" s="11"/>
      <c r="C44" s="11"/>
      <c r="D44" s="13">
        <f t="shared" si="4"/>
        <v>0.8076923076923082</v>
      </c>
      <c r="E44" s="3">
        <f ca="1" t="shared" si="1"/>
        <v>0.7252309160953256</v>
      </c>
      <c r="F44" s="6">
        <f t="shared" si="5"/>
        <v>65.68293620004657</v>
      </c>
      <c r="G44" s="6">
        <f t="shared" si="6"/>
        <v>65.68293620004657</v>
      </c>
      <c r="H44" s="9"/>
      <c r="J44" s="3"/>
      <c r="K44" s="3"/>
      <c r="L44" s="3"/>
      <c r="M44" s="3"/>
      <c r="N44" s="3"/>
      <c r="O44" s="3"/>
      <c r="P44" s="3"/>
    </row>
    <row r="45" spans="2:16" ht="12.75">
      <c r="B45" s="7"/>
      <c r="C45" s="7"/>
      <c r="D45" s="13">
        <f t="shared" si="4"/>
        <v>0.8269230769230774</v>
      </c>
      <c r="E45" s="3">
        <f ca="1" t="shared" si="1"/>
        <v>0.008450704141957921</v>
      </c>
      <c r="F45" s="6">
        <f t="shared" si="5"/>
        <v>69.4293152591318</v>
      </c>
      <c r="G45" s="6">
        <f t="shared" si="6"/>
        <v>69.4293152591318</v>
      </c>
      <c r="H45" s="7"/>
      <c r="J45" s="7"/>
      <c r="K45" s="7"/>
      <c r="L45" s="7"/>
      <c r="M45" s="7"/>
      <c r="N45" s="7"/>
      <c r="O45" s="7"/>
      <c r="P45" s="7"/>
    </row>
    <row r="46" spans="4:7" ht="12.75">
      <c r="D46" s="13">
        <f t="shared" si="4"/>
        <v>0.8461538461538467</v>
      </c>
      <c r="E46" s="3">
        <f ca="1" t="shared" si="1"/>
        <v>0.9648092662171868</v>
      </c>
      <c r="F46" s="6">
        <f t="shared" si="5"/>
        <v>65.68293620004657</v>
      </c>
      <c r="G46" s="6">
        <f t="shared" si="6"/>
        <v>65.68293620004657</v>
      </c>
    </row>
    <row r="47" spans="4:7" ht="12.75">
      <c r="D47" s="13">
        <f t="shared" si="4"/>
        <v>0.865384615384616</v>
      </c>
      <c r="E47" s="3">
        <f ca="1" t="shared" si="1"/>
        <v>0.7598450775926209</v>
      </c>
      <c r="F47" s="6">
        <f t="shared" si="5"/>
        <v>62.13871030928754</v>
      </c>
      <c r="G47" s="6">
        <f t="shared" si="6"/>
        <v>62.13871030928754</v>
      </c>
    </row>
    <row r="48" spans="4:7" ht="12.75">
      <c r="D48" s="13">
        <f t="shared" si="4"/>
        <v>0.8846153846153852</v>
      </c>
      <c r="E48" s="3">
        <f ca="1" t="shared" si="1"/>
        <v>0.7643920186207183</v>
      </c>
      <c r="F48" s="6">
        <f t="shared" si="5"/>
        <v>58.785729479901356</v>
      </c>
      <c r="G48" s="6">
        <f t="shared" si="6"/>
        <v>58.785729479901356</v>
      </c>
    </row>
    <row r="49" spans="4:7" ht="12.75">
      <c r="D49" s="13">
        <f t="shared" si="4"/>
        <v>0.9038461538461545</v>
      </c>
      <c r="E49" s="3">
        <f ca="1" t="shared" si="1"/>
        <v>0.1760295376291865</v>
      </c>
      <c r="F49" s="6">
        <f t="shared" si="5"/>
        <v>62.13871030928754</v>
      </c>
      <c r="G49" s="6">
        <f t="shared" si="6"/>
        <v>62.13871030928754</v>
      </c>
    </row>
    <row r="50" spans="4:7" ht="12.75">
      <c r="D50" s="13">
        <f t="shared" si="4"/>
        <v>0.9230769230769238</v>
      </c>
      <c r="E50" s="3">
        <f ca="1" t="shared" si="1"/>
        <v>0.8923733006367711</v>
      </c>
      <c r="F50" s="6">
        <f t="shared" si="5"/>
        <v>58.785729479901356</v>
      </c>
      <c r="G50" s="6">
        <f t="shared" si="6"/>
        <v>58.785729479901356</v>
      </c>
    </row>
    <row r="51" spans="4:7" ht="12.75">
      <c r="D51" s="13">
        <f t="shared" si="4"/>
        <v>0.9423076923076931</v>
      </c>
      <c r="E51" s="3">
        <f ca="1" t="shared" si="1"/>
        <v>0.3219937901869572</v>
      </c>
      <c r="F51" s="6">
        <f t="shared" si="5"/>
        <v>62.13871030928754</v>
      </c>
      <c r="G51" s="6">
        <f t="shared" si="6"/>
        <v>62.13871030928754</v>
      </c>
    </row>
    <row r="52" spans="4:7" ht="12.75">
      <c r="D52" s="13">
        <f t="shared" si="4"/>
        <v>0.9615384615384623</v>
      </c>
      <c r="E52" s="3">
        <f ca="1" t="shared" si="1"/>
        <v>0.4679571386765953</v>
      </c>
      <c r="F52" s="6">
        <f t="shared" si="5"/>
        <v>65.68293620004657</v>
      </c>
      <c r="G52" s="6">
        <f t="shared" si="6"/>
        <v>65.68293620004657</v>
      </c>
    </row>
    <row r="53" spans="4:7" ht="12.75">
      <c r="D53" s="13">
        <f t="shared" si="4"/>
        <v>0.9807692307692316</v>
      </c>
      <c r="E53" s="3">
        <f ca="1" t="shared" si="1"/>
        <v>0.30930262413186393</v>
      </c>
      <c r="F53" s="6">
        <f t="shared" si="5"/>
        <v>69.4293152591318</v>
      </c>
      <c r="G53" s="6">
        <f t="shared" si="6"/>
        <v>69.4293152591318</v>
      </c>
    </row>
    <row r="54" spans="4:7" ht="12.75">
      <c r="D54" s="13">
        <f t="shared" si="4"/>
        <v>1.0000000000000009</v>
      </c>
      <c r="E54" s="3">
        <f ca="1" t="shared" si="1"/>
        <v>0.4328860631060225</v>
      </c>
      <c r="F54" s="6">
        <f t="shared" si="5"/>
        <v>73.38937776275132</v>
      </c>
      <c r="G54" s="6">
        <f t="shared" si="6"/>
        <v>73.38937776275132</v>
      </c>
    </row>
    <row r="55" spans="4:7" ht="12.75">
      <c r="D55" s="13"/>
      <c r="E55" s="3"/>
      <c r="F55" s="6"/>
      <c r="G55" s="6"/>
    </row>
    <row r="56" spans="1:7" ht="12.75">
      <c r="A56" t="s">
        <v>35</v>
      </c>
      <c r="D56" s="13"/>
      <c r="E56" s="3"/>
      <c r="F56" s="16">
        <f>MAX(F54-B3,0)</f>
        <v>0</v>
      </c>
      <c r="G56" s="6"/>
    </row>
    <row r="57" spans="1:6" ht="12.75">
      <c r="A57" t="s">
        <v>36</v>
      </c>
      <c r="F57" s="29">
        <f>F56*EXP(-B4*B5)</f>
        <v>0</v>
      </c>
    </row>
    <row r="59" spans="1:6" ht="12.75">
      <c r="A59" t="s">
        <v>37</v>
      </c>
      <c r="F59" s="16">
        <f>MAX(AVERAGE(F2:F54)-B3,0)</f>
        <v>0</v>
      </c>
    </row>
    <row r="60" spans="1:6" ht="12.75">
      <c r="A60" t="s">
        <v>38</v>
      </c>
      <c r="F60" s="29">
        <f>F59*EXP(-B4*B5)</f>
        <v>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wms</dc:creator>
  <cp:keywords/>
  <dc:description/>
  <cp:lastModifiedBy>jd</cp:lastModifiedBy>
  <dcterms:created xsi:type="dcterms:W3CDTF">2008-03-27T07:39:31Z</dcterms:created>
  <dcterms:modified xsi:type="dcterms:W3CDTF">2008-05-09T19:06:14Z</dcterms:modified>
  <cp:category/>
  <cp:version/>
  <cp:contentType/>
  <cp:contentStatus/>
</cp:coreProperties>
</file>